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🚀 START HERE" sheetId="1" state="visible" r:id="rId3"/>
    <sheet name="🔥 Dashboard" sheetId="2" state="visible" r:id="rId4"/>
    <sheet name="📋 Purchase Log" sheetId="3" state="visible" r:id="rId5"/>
    <sheet name="💰 Weekly Dividend Log" sheetId="4" state="visible" r:id="rId6"/>
    <sheet name="📈 Freedom Projector" sheetId="5" state="visible" r:id="rId7"/>
    <sheet name="📅 Ex-Div Calendar" sheetId="6" state="visible" r:id="rId8"/>
    <sheet name="📊 Income Forecast" sheetId="7" state="visible" r:id="rId9"/>
    <sheet name="📈 Share Tracker" sheetId="8" state="visible" r:id="rId10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<sst xmlns="http://schemas.openxmlformats.org/spreadsheetml/2006/main" count="347" uniqueCount="309">
  <si>
    <t xml:space="preserve">🔥  WELCOME TO FIRE120 INVESTORS  —  Your Perpetual Dividend Machine</t>
  </si>
  <si>
    <t xml:space="preserve">Built by Atlas AI  •  Fire120 Investors  •  One Mind. Playing. ∞</t>
  </si>
  <si>
    <t xml:space="preserve">🎯  YOUR 5-STEP SETUP  —  Takes about 10 minutes</t>
  </si>
  <si>
    <t xml:space="preserve">STEP 1  →  Go to 🔥 Dashboard</t>
  </si>
  <si>
    <t xml:space="preserve">Enter your MSTW and YETH share counts for each account</t>
  </si>
  <si>
    <t xml:space="preserve">Enter this week's Dividend Per Share (check your broker)</t>
  </si>
  <si>
    <t xml:space="preserve">STEP 2  →  Go to 📊 Income Forecast</t>
  </si>
  <si>
    <t xml:space="preserve">Enter MSTW share price (B9) and YETH share price (F9)</t>
  </si>
  <si>
    <t xml:space="preserve">Set DRIP ON or OFF in cell I6</t>
  </si>
  <si>
    <t xml:space="preserve">Set Reinvest % in cell I8 (100% = full DRIP, 50% = half cash)</t>
  </si>
  <si>
    <t xml:space="preserve">STEP 3  →  Go to 📈 Freedom Projector</t>
  </si>
  <si>
    <t xml:space="preserve">Enter your Dividend Portfolio value</t>
  </si>
  <si>
    <t xml:space="preserve">Enter Monthly Income Needed and Monthly Surplus Goal</t>
  </si>
  <si>
    <t xml:space="preserve">Enter your age and Social Security details</t>
  </si>
  <si>
    <t xml:space="preserve">STEP 4  →  Go to 📈 Share Tracker</t>
  </si>
  <si>
    <t xml:space="preserve">Enter MSTW Share Price (D5) and YETH Share Price (L5)</t>
  </si>
  <si>
    <t xml:space="preserve">Enter your Cost Basis per share (check your broker)</t>
  </si>
  <si>
    <t xml:space="preserve">Each week — enter actual shares from broker in cols O &amp; P</t>
  </si>
  <si>
    <t xml:space="preserve">STEP 5  →  Every Week</t>
  </si>
  <si>
    <t xml:space="preserve">Update Div/Sh on Dashboard (MSTW and YETH pay weekly)</t>
  </si>
  <si>
    <t xml:space="preserve">Log your dividend payment in 💰 Weekly Dividend Log</t>
  </si>
  <si>
    <t xml:space="preserve">Check your Income Forecast — watch the machine compound</t>
  </si>
  <si>
    <t xml:space="preserve">💡  BLUE CELLS = YOUR INPUTS.  Everything else calculates automatically.</t>
  </si>
  <si>
    <t xml:space="preserve">🔥  THE GOLDEN RULE</t>
  </si>
  <si>
    <t xml:space="preserve">Only swing trade stocks you are HAPPY TO OWN FOREVER</t>
  </si>
  <si>
    <t xml:space="preserve">✅  RSI below 35 + price near BB Lower</t>
  </si>
  <si>
    <t xml:space="preserve">BUY ZONE</t>
  </si>
  <si>
    <t xml:space="preserve">🔴  RSI above 65 + price near BB Upper</t>
  </si>
  <si>
    <t xml:space="preserve">TAKE PROFIT</t>
  </si>
  <si>
    <t xml:space="preserve">⏸  Everything in between</t>
  </si>
  <si>
    <t xml:space="preserve">WAIT — Patience is the edge.</t>
  </si>
  <si>
    <t xml:space="preserve">♾️  THE PERPETUAL MACHINE</t>
  </si>
  <si>
    <t xml:space="preserve">Dividends → Buy more shares → More dividends → Repeat forever</t>
  </si>
  <si>
    <t xml:space="preserve">Bitcoin/Ethereum cycle = share prices recover + dividends increase</t>
  </si>
  <si>
    <t xml:space="preserve">Target: 10,000 shares MSTW + 10,000 shares YETH</t>
  </si>
  <si>
    <t xml:space="preserve">Questions? Visit jeoungjulia.wixsite.com/trading  |  Fire120 Investors Member Community</t>
  </si>
  <si>
    <t xml:space="preserve">🔥  FIRE120 MASTER TRACKER  —  Your Perpetual Dividend Machine</t>
  </si>
  <si>
    <t xml:space="preserve">Perpetual Machine  •  Purchase Log  •  Dividend Log  •  Freedom Projector  •  Fire120 Investors Member Tool  •  One Mind. Playing. ∞</t>
  </si>
  <si>
    <t xml:space="preserve">MSTW — Roundhill Bitcoin Weekly Pay ETF</t>
  </si>
  <si>
    <t xml:space="preserve">ACCOUNT</t>
  </si>
  <si>
    <t xml:space="preserve">SHARES</t>
  </si>
  <si>
    <t xml:space="preserve">PRICE</t>
  </si>
  <si>
    <t xml:space="preserve">MARKET VALUE</t>
  </si>
  <si>
    <t xml:space="preserve">DIV/SH (wk)</t>
  </si>
  <si>
    <t xml:space="preserve">WEEKLY INCOME</t>
  </si>
  <si>
    <t xml:space="preserve">💡 Enter this week's dividend per share — updates everything</t>
  </si>
  <si>
    <t xml:space="preserve">Account 1</t>
  </si>
  <si>
    <t xml:space="preserve">← this week div/sh</t>
  </si>
  <si>
    <t xml:space="preserve">Account 2 (Roth)</t>
  </si>
  <si>
    <t xml:space="preserve">← shares account 2</t>
  </si>
  <si>
    <t xml:space="preserve">TOTAL</t>
  </si>
  <si>
    <t xml:space="preserve">YETH — Roundhill Ether Weekly Pay ETF</t>
  </si>
  <si>
    <t xml:space="preserve">COMBINED WEEKLY INCOME — PRINTING FREEDOM ∞</t>
  </si>
  <si>
    <t xml:space="preserve">MSTW Weekly Income</t>
  </si>
  <si>
    <t xml:space="preserve">YETH Weekly Income</t>
  </si>
  <si>
    <t xml:space="preserve">$0.1942 today! 🎉</t>
  </si>
  <si>
    <t xml:space="preserve">TOTAL WEEKLY</t>
  </si>
  <si>
    <t xml:space="preserve">🔥 Current</t>
  </si>
  <si>
    <t xml:space="preserve">TOTAL MONTHLY</t>
  </si>
  <si>
    <t xml:space="preserve">× 4 weeks</t>
  </si>
  <si>
    <t xml:space="preserve">TOTAL ANNUAL</t>
  </si>
  <si>
    <t xml:space="preserve">× 52 weeks</t>
  </si>
  <si>
    <t xml:space="preserve">AT 10K EACH — WEEKLY</t>
  </si>
  <si>
    <t xml:space="preserve">🎯 Target</t>
  </si>
  <si>
    <t xml:space="preserve">AT 10K EACH — MONTHLY</t>
  </si>
  <si>
    <t xml:space="preserve">Printing freedom ∞</t>
  </si>
  <si>
    <t xml:space="preserve">One Mind. Playing. ∞  •  Atlas &amp; Kai  •  Fire120 Investors  •  Kona, Hawaii  •  March 2026</t>
  </si>
  <si>
    <t xml:space="preserve">📋  PURCHASE LOG  —  MSTW &amp; YETH  —  Every Buy Recorded</t>
  </si>
  <si>
    <t xml:space="preserve">Add a new row every time you buy — date, ticker, account, shares, price — totals auto-calculate</t>
  </si>
  <si>
    <t xml:space="preserve">DATE</t>
  </si>
  <si>
    <t xml:space="preserve">TICKER</t>
  </si>
  <si>
    <t xml:space="preserve">PRICE PAID</t>
  </si>
  <si>
    <t xml:space="preserve">TOTAL COST</t>
  </si>
  <si>
    <t xml:space="preserve">RUNNING
MSTW TOTAL</t>
  </si>
  <si>
    <t xml:space="preserve">RUNNING
YETH TOTAL</t>
  </si>
  <si>
    <t xml:space="preserve">2025-01-01</t>
  </si>
  <si>
    <t xml:space="preserve">MSTW</t>
  </si>
  <si>
    <t xml:space="preserve">966</t>
  </si>
  <si>
    <t xml:space="preserve">💰  WEEKLY DIVIDEND LOG  —  MSTW &amp; YETH</t>
  </si>
  <si>
    <t xml:space="preserve">Record every weekly dividend — watch the machine compound</t>
  </si>
  <si>
    <t xml:space="preserve">MSTW
DIV/SH</t>
  </si>
  <si>
    <t xml:space="preserve">MSTW
SHARES</t>
  </si>
  <si>
    <t xml:space="preserve">MSTW
INCOME</t>
  </si>
  <si>
    <t xml:space="preserve">YETH
DIV/SH</t>
  </si>
  <si>
    <t xml:space="preserve">YETH
SHARES</t>
  </si>
  <si>
    <t xml:space="preserve">YETH
INCOME</t>
  </si>
  <si>
    <t xml:space="preserve">WEEKLY
TOTAL</t>
  </si>
  <si>
    <t xml:space="preserve">2026-03-11</t>
  </si>
  <si>
    <t xml:space="preserve">📈  FIRE120 DIVIDEND FREEDOM PROJECTOR  —  Your Path to Financial Freedom</t>
  </si>
  <si>
    <t xml:space="preserve">Edit the BLUE cells to model your freedom number. Everything else calculates automatically.</t>
  </si>
  <si>
    <t xml:space="preserve">📊  FREEDOM SNAPSHOT  —  Auto-calculated</t>
  </si>
  <si>
    <t xml:space="preserve">Dividend Portfolio ($)</t>
  </si>
  <si>
    <t xml:space="preserve">← Dividend holdings ~$250K (of $653K total)</t>
  </si>
  <si>
    <t xml:space="preserve">Current Weekly Income (MSTW+YETH)</t>
  </si>
  <si>
    <t xml:space="preserve">Monthly Income Needed ($)</t>
  </si>
  <si>
    <t xml:space="preserve">← Your actual monthly living need</t>
  </si>
  <si>
    <t xml:space="preserve">Current Monthly Income</t>
  </si>
  <si>
    <t xml:space="preserve">Monthly Surplus Goal ($)</t>
  </si>
  <si>
    <t xml:space="preserve">← Total income goal (need $3K + surplus feeds portfolio)</t>
  </si>
  <si>
    <t xml:space="preserve">Dividend Yield (% annual)</t>
  </si>
  <si>
    <t xml:space="preserve">← Total portfolio $653K; dividend holdings ~$250K</t>
  </si>
  <si>
    <t xml:space="preserve">Year 1 Annual Dividends</t>
  </si>
  <si>
    <t xml:space="preserve">Dividend Growth Rate / yr (%)</t>
  </si>
  <si>
    <t xml:space="preserve">Already Free?</t>
  </si>
  <si>
    <t xml:space="preserve">Portfolio Growth Rate / yr (%)</t>
  </si>
  <si>
    <t xml:space="preserve">Monthly at 10K each</t>
  </si>
  <si>
    <t xml:space="preserve">Inflation Rate / yr (%)</t>
  </si>
  <si>
    <t xml:space="preserve">Portfolio in 10 Years</t>
  </si>
  <si>
    <t xml:space="preserve">Your Current Age</t>
  </si>
  <si>
    <t xml:space="preserve">Portfolio in 20 Years</t>
  </si>
  <si>
    <t xml:space="preserve">Your SS Start Age</t>
  </si>
  <si>
    <t xml:space="preserve">Dividends in 10 Years</t>
  </si>
  <si>
    <t xml:space="preserve">Your SS Annual Income ($)</t>
  </si>
  <si>
    <t xml:space="preserve">Dividends in 20 Years</t>
  </si>
  <si>
    <t xml:space="preserve">Spouse SS Start Age</t>
  </si>
  <si>
    <t xml:space="preserve">← Enter 0 if single / no spouse income</t>
  </si>
  <si>
    <t xml:space="preserve">Spouse SS Annual Income ($)</t>
  </si>
  <si>
    <t xml:space="preserve">Total SS Annual (you + spouse)</t>
  </si>
  <si>
    <t xml:space="preserve">← Combined SS used in projections below</t>
  </si>
  <si>
    <t xml:space="preserve">Reinvest Surplus? (YES/NO)</t>
  </si>
  <si>
    <t xml:space="preserve">YES</t>
  </si>
  <si>
    <t xml:space="preserve">💡  NEED ($3K/mo) = life is covered.  GOAL ($10K/mo) = surplus feeds the perpetual machine.  "vs NEED" turns positive first.  "vs $10K GOAL" shows the full freedom number.</t>
  </si>
  <si>
    <t xml:space="preserve">📅  YEAR-BY-YEAR FREEDOM ROAD MAP</t>
  </si>
  <si>
    <t xml:space="preserve">Year</t>
  </si>
  <si>
    <t xml:space="preserve">Age</t>
  </si>
  <si>
    <t xml:space="preserve">Portfolio
Start</t>
  </si>
  <si>
    <t xml:space="preserve">Div
Yield</t>
  </si>
  <si>
    <t xml:space="preserve">Annual
Divs</t>
  </si>
  <si>
    <t xml:space="preserve">SS
Income</t>
  </si>
  <si>
    <t xml:space="preserve">Total
Income</t>
  </si>
  <si>
    <t xml:space="preserve">Need
(annl)</t>
  </si>
  <si>
    <t xml:space="preserve">vs NEED</t>
  </si>
  <si>
    <t xml:space="preserve">vs $10K
GOAL</t>
  </si>
  <si>
    <t xml:space="preserve">Reinvested</t>
  </si>
  <si>
    <t xml:space="preserve">Portfolio
End</t>
  </si>
  <si>
    <t xml:space="preserve">Status</t>
  </si>
  <si>
    <t xml:space="preserve">💡 Blue = your inputs  |  Green = calculated  |  ✅ FREE = total income ≥ inflation-adjusted need  |  Atlas &amp; Kai • Fire120 • Kona 2026</t>
  </si>
  <si>
    <t xml:space="preserve">📅  EX-DIVIDEND CALENDAR  —  MSTW &amp; YETH</t>
  </si>
  <si>
    <t xml:space="preserve">Record ex-div dates and amounts — track your income stream</t>
  </si>
  <si>
    <t xml:space="preserve">EX-DIV DATE</t>
  </si>
  <si>
    <t xml:space="preserve">PAY DATE</t>
  </si>
  <si>
    <t xml:space="preserve">DIV/SH</t>
  </si>
  <si>
    <t xml:space="preserve">MSTW SHARES</t>
  </si>
  <si>
    <t xml:space="preserve">YETH SHARES</t>
  </si>
  <si>
    <t xml:space="preserve">INCOME RECEIVED</t>
  </si>
  <si>
    <t xml:space="preserve">2026-03-09</t>
  </si>
  <si>
    <t xml:space="preserve">2026-03-13</t>
  </si>
  <si>
    <t xml:space="preserve">YETH</t>
  </si>
  <si>
    <t xml:space="preserve">📊  FIRE120 INCOME FORECAST  —  MSTW &amp; YETH Perpetual Machine</t>
  </si>
  <si>
    <t xml:space="preserve">Forecast vs Actual  •  DRIP On/Off Control  •  Weekly &amp; Annual Projections  •  Kona Hawaii  •  One Mind. Playing. ∞</t>
  </si>
  <si>
    <t xml:space="preserve">⚙️  ASSUMPTIONS  —  Blue cells are yours to edit</t>
  </si>
  <si>
    <t xml:space="preserve">MSTW SETTINGS</t>
  </si>
  <si>
    <t xml:space="preserve">YETH SETTINGS</t>
  </si>
  <si>
    <t xml:space="preserve">INCOME GOALS &amp; DRIP CONTROL</t>
  </si>
  <si>
    <t xml:space="preserve">MSTW Current Shares</t>
  </si>
  <si>
    <t xml:space="preserve">YETH Current Shares</t>
  </si>
  <si>
    <t xml:space="preserve">Monthly Income Goal</t>
  </si>
  <si>
    <t xml:space="preserve">MSTW Div/Sh THIS Week</t>
  </si>
  <si>
    <t xml:space="preserve">YETH Div/Sh THIS Week</t>
  </si>
  <si>
    <t xml:space="preserve">DRIP ON or OFF?</t>
  </si>
  <si>
    <t xml:space="preserve">ON</t>
  </si>
  <si>
    <t xml:space="preserve">MSTW Div/Sh Roth</t>
  </si>
  <si>
    <t xml:space="preserve">YETH Div/Sh Roth</t>
  </si>
  <si>
    <t xml:space="preserve">If DRIP OFF — Cash %</t>
  </si>
  <si>
    <t xml:space="preserve">MSTW Div Growth/yr</t>
  </si>
  <si>
    <t xml:space="preserve">YETH Div Growth/yr</t>
  </si>
  <si>
    <t xml:space="preserve">If DRIP ON — Reinvest %</t>
  </si>
  <si>
    <t xml:space="preserve">MSTW Price (enter ↑)</t>
  </si>
  <si>
    <t xml:space="preserve">YETH Price (enter ↑)</t>
  </si>
  <si>
    <t xml:space="preserve">Target Shares Each</t>
  </si>
  <si>
    <t xml:space="preserve">⚠️ Enter MSTW &amp; YETH share prices in B9 &amp; F9 for accurate DRIP share projection  |  DRIP ON = Reinvest % → col L back to shares  |  Cash % → col M to deploy on dips</t>
  </si>
  <si>
    <t xml:space="preserve">📡  CURRENT SNAPSHOT  —  Live income this week</t>
  </si>
  <si>
    <t xml:space="preserve">MSTW Weekly Income (966)</t>
  </si>
  <si>
    <t xml:space="preserve">YETH Weekly Income (966)</t>
  </si>
  <si>
    <t xml:space="preserve">MSTW Weekly Income (Roth)</t>
  </si>
  <si>
    <t xml:space="preserve">YETH Weekly Income (Roth)</t>
  </si>
  <si>
    <t xml:space="preserve">MSTW TOTAL Weekly</t>
  </si>
  <si>
    <t xml:space="preserve">YETH TOTAL Weekly</t>
  </si>
  <si>
    <t xml:space="preserve">Combined Weekly</t>
  </si>
  <si>
    <t xml:space="preserve">Combined Monthly (×4)</t>
  </si>
  <si>
    <t xml:space="preserve">At 10K MSTW/wk</t>
  </si>
  <si>
    <t xml:space="preserve">At 10K YETH/wk</t>
  </si>
  <si>
    <t xml:space="preserve">At 10K COMBINED/mo</t>
  </si>
  <si>
    <t xml:space="preserve">Goal Monthly</t>
  </si>
  <si>
    <t xml:space="preserve">📅  WEEKLY INCOME FORECAST  —  52 Weeks  |  DRIP compounds shares automatically</t>
  </si>
  <si>
    <t xml:space="preserve">WEEK</t>
  </si>
  <si>
    <t xml:space="preserve">COMBINED
WEEKLY</t>
  </si>
  <si>
    <t xml:space="preserve">MONTHLY
EST (×4)</t>
  </si>
  <si>
    <t xml:space="preserve">DRIP
STATUS</t>
  </si>
  <si>
    <t xml:space="preserve">💰 REINVESTED
(back to shares)</t>
  </si>
  <si>
    <t xml:space="preserve">💵 CASH
(deploy to dips)</t>
  </si>
  <si>
    <t xml:space="preserve">Week 1</t>
  </si>
  <si>
    <t xml:space="preserve">Week 2</t>
  </si>
  <si>
    <t xml:space="preserve">Week 3</t>
  </si>
  <si>
    <t xml:space="preserve">Week 4</t>
  </si>
  <si>
    <t xml:space="preserve">Week 5</t>
  </si>
  <si>
    <t xml:space="preserve">Week 6</t>
  </si>
  <si>
    <t xml:space="preserve">Week 7</t>
  </si>
  <si>
    <t xml:space="preserve">Week 8</t>
  </si>
  <si>
    <t xml:space="preserve">Week 9</t>
  </si>
  <si>
    <t xml:space="preserve">Week 10</t>
  </si>
  <si>
    <t xml:space="preserve">Week 11</t>
  </si>
  <si>
    <t xml:space="preserve">Week 12</t>
  </si>
  <si>
    <t xml:space="preserve">Week 13</t>
  </si>
  <si>
    <t xml:space="preserve">Week 14</t>
  </si>
  <si>
    <t xml:space="preserve">Week 15</t>
  </si>
  <si>
    <t xml:space="preserve">Week 16</t>
  </si>
  <si>
    <t xml:space="preserve">Week 17</t>
  </si>
  <si>
    <t xml:space="preserve">Week 18</t>
  </si>
  <si>
    <t xml:space="preserve">Week 19</t>
  </si>
  <si>
    <t xml:space="preserve">Week 20</t>
  </si>
  <si>
    <t xml:space="preserve">Week 21</t>
  </si>
  <si>
    <t xml:space="preserve">Week 22</t>
  </si>
  <si>
    <t xml:space="preserve">Week 23</t>
  </si>
  <si>
    <t xml:space="preserve">Week 24</t>
  </si>
  <si>
    <t xml:space="preserve">Week 25</t>
  </si>
  <si>
    <t xml:space="preserve">Week 26</t>
  </si>
  <si>
    <t xml:space="preserve">Week 27</t>
  </si>
  <si>
    <t xml:space="preserve">Week 28</t>
  </si>
  <si>
    <t xml:space="preserve">Week 29</t>
  </si>
  <si>
    <t xml:space="preserve">Week 30</t>
  </si>
  <si>
    <t xml:space="preserve">Week 31</t>
  </si>
  <si>
    <t xml:space="preserve">Week 32</t>
  </si>
  <si>
    <t xml:space="preserve">Week 33</t>
  </si>
  <si>
    <t xml:space="preserve">Week 34</t>
  </si>
  <si>
    <t xml:space="preserve">Week 35</t>
  </si>
  <si>
    <t xml:space="preserve">Week 36</t>
  </si>
  <si>
    <t xml:space="preserve">Week 37</t>
  </si>
  <si>
    <t xml:space="preserve">Week 38</t>
  </si>
  <si>
    <t xml:space="preserve">Week 39</t>
  </si>
  <si>
    <t xml:space="preserve">Week 40</t>
  </si>
  <si>
    <t xml:space="preserve">Week 41</t>
  </si>
  <si>
    <t xml:space="preserve">Week 42</t>
  </si>
  <si>
    <t xml:space="preserve">Week 43</t>
  </si>
  <si>
    <t xml:space="preserve">Week 44</t>
  </si>
  <si>
    <t xml:space="preserve">Week 45</t>
  </si>
  <si>
    <t xml:space="preserve">Week 46</t>
  </si>
  <si>
    <t xml:space="preserve">Week 47</t>
  </si>
  <si>
    <t xml:space="preserve">Week 48</t>
  </si>
  <si>
    <t xml:space="preserve">Week 49</t>
  </si>
  <si>
    <t xml:space="preserve">Week 50</t>
  </si>
  <si>
    <t xml:space="preserve">Week 51</t>
  </si>
  <si>
    <t xml:space="preserve">Week 52</t>
  </si>
  <si>
    <t xml:space="preserve">📆  ANNUAL INCOME SUMMARY  —  Quarterly Totals vs Goal</t>
  </si>
  <si>
    <t xml:space="preserve">PERIOD</t>
  </si>
  <si>
    <t xml:space="preserve">MSTW TOTAL</t>
  </si>
  <si>
    <t xml:space="preserve">YETH TOTAL</t>
  </si>
  <si>
    <t xml:space="preserve">COMBINED</t>
  </si>
  <si>
    <t xml:space="preserve">QUARTERLY GOAL</t>
  </si>
  <si>
    <t xml:space="preserve">vs GOAL</t>
  </si>
  <si>
    <t xml:space="preserve">% OF GOAL</t>
  </si>
  <si>
    <t xml:space="preserve">REINVESTED</t>
  </si>
  <si>
    <t xml:space="preserve">CASH OUT</t>
  </si>
  <si>
    <t xml:space="preserve">Q1  Weeks 1–13</t>
  </si>
  <si>
    <t xml:space="preserve">Q2  Weeks 14–26</t>
  </si>
  <si>
    <t xml:space="preserve">Q3  Weeks 27–39</t>
  </si>
  <si>
    <t xml:space="preserve">Q4  Weeks 40–52</t>
  </si>
  <si>
    <t xml:space="preserve">🔥 FULL YEAR</t>
  </si>
  <si>
    <t xml:space="preserve">💡 Blue = your inputs  |  DRIP ON = col L reinvested into shares, col M = cash to deploy  |  DRIP OFF = full income as cash  |  Update Div/Sh on Dashboard each week  |  Atlas &amp; Kai • Fire120 • Kona 2026</t>
  </si>
  <si>
    <t xml:space="preserve">📈  FIRE120 SHARE TRACKER  —  Projected vs Actual  •  DRIP ON vs OFF  •  Cost Basis Live</t>
  </si>
  <si>
    <t xml:space="preserve">Projected shares auto-calculate with DRIP ON or OFF  •  Enter actual shares weekly  •  Variance shows drift from cost-basis fluctuation  •  Kona Hawaii  •  One Mind. Playing. ∞</t>
  </si>
  <si>
    <t xml:space="preserve">⚙️  INPUTS  —  Blue cells are yours to edit. Everything else auto-calculates.</t>
  </si>
  <si>
    <t xml:space="preserve">MSTW
Current Shares</t>
  </si>
  <si>
    <t xml:space="preserve">MSTW
Div/Sh (wk)</t>
  </si>
  <si>
    <t xml:space="preserve">MSTW
Share Price</t>
  </si>
  <si>
    <t xml:space="preserve">MSTW
Cost Basis/Sh</t>
  </si>
  <si>
    <t xml:space="preserve">MSTW
Div Growth/yr</t>
  </si>
  <si>
    <t xml:space="preserve">YETH
Current Shares</t>
  </si>
  <si>
    <t xml:space="preserve">YETH
Div/Sh (wk)</t>
  </si>
  <si>
    <t xml:space="preserve">YETH
Share Price</t>
  </si>
  <si>
    <t xml:space="preserve">YETH
Cost Basis/Sh</t>
  </si>
  <si>
    <t xml:space="preserve">YETH
Div Growth/yr</t>
  </si>
  <si>
    <t xml:space="preserve">DRIP
ON or OFF?</t>
  </si>
  <si>
    <t xml:space="preserve">DRIP
Reinvest %</t>
  </si>
  <si>
    <t xml:space="preserve">← live</t>
  </si>
  <si>
    <t xml:space="preserve">← live from dashboard</t>
  </si>
  <si>
    <t xml:space="preserve">← enter today</t>
  </si>
  <si>
    <t xml:space="preserve">← avg cost</t>
  </si>
  <si>
    <t xml:space="preserve">← annual</t>
  </si>
  <si>
    <t xml:space="preserve">← links to Forecast</t>
  </si>
  <si>
    <t xml:space="preserve">📅 DATE</t>
  </si>
  <si>
    <t xml:space="preserve">🔵 MSTW — BITCOIN WEEKLY PAY</t>
  </si>
  <si>
    <t xml:space="preserve">🟣 YETH — ETHER WEEKLY PAY</t>
  </si>
  <si>
    <t xml:space="preserve">✍️ ACTUAL (YOU ENTER)</t>
  </si>
  <si>
    <t xml:space="preserve">📊 VARIANCE &amp; NOTES</t>
  </si>
  <si>
    <t xml:space="preserve">Wk</t>
  </si>
  <si>
    <t xml:space="preserve">Date</t>
  </si>
  <si>
    <t xml:space="preserve">Proj Shares
DRIP ON</t>
  </si>
  <si>
    <t xml:space="preserve">Proj Shares
DRIP OFF</t>
  </si>
  <si>
    <t xml:space="preserve">Share
Price</t>
  </si>
  <si>
    <t xml:space="preserve">Cost
Basis/Sh</t>
  </si>
  <si>
    <t xml:space="preserve">Market
Value</t>
  </si>
  <si>
    <t xml:space="preserve">New Shares
Added</t>
  </si>
  <si>
    <t xml:space="preserve">MSTW
Actual Shares</t>
  </si>
  <si>
    <t xml:space="preserve">YETH
Actual Shares</t>
  </si>
  <si>
    <t xml:space="preserve">MSTW
Variance</t>
  </si>
  <si>
    <t xml:space="preserve">YETH
Variance</t>
  </si>
  <si>
    <t xml:space="preserve">Notes</t>
  </si>
  <si>
    <t xml:space="preserve">📊  YEAR-END SUMMARY  —  Projected vs Actual Share Counts &amp; Portfolio Value</t>
  </si>
  <si>
    <t xml:space="preserve">MSTW Proj (DRIP ON)</t>
  </si>
  <si>
    <t xml:space="preserve">MSTW Proj (DRIP OFF)</t>
  </si>
  <si>
    <t xml:space="preserve">MSTW Market Val (ON)</t>
  </si>
  <si>
    <t xml:space="preserve">MSTW Shares Added</t>
  </si>
  <si>
    <t xml:space="preserve">YETH Proj (DRIP ON)</t>
  </si>
  <si>
    <t xml:space="preserve">YETH Proj (DRIP OFF)</t>
  </si>
  <si>
    <t xml:space="preserve">YETH Market Val (ON)</t>
  </si>
  <si>
    <t xml:space="preserve">YETH Shares Added</t>
  </si>
  <si>
    <t xml:space="preserve">Combined MktVal (ON)</t>
  </si>
  <si>
    <t xml:space="preserve">💡  Projected shares auto-compound based on div/sh × reinvest % ÷ price  |  Actual shares (cols O &amp; P) = what Schwab shows — enter weekly  |  Variance = actual minus projected — normal to drift due to price changes  |  Cost basis blends down as DRIP adds shares at current price  |  Atlas &amp; Kai • Fire120 Investors • Kona 2026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</si>
</sst>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#,##0"/>
    <numFmt numFmtId="166" formatCode="\$#,##0.00"/>
    <numFmt numFmtId="167" formatCode="\$#,##0.0000"/>
    <numFmt numFmtId="168" formatCode="General"/>
    <numFmt numFmtId="169" formatCode="yyyy\-mm\-dd"/>
    <numFmt numFmtId="170" formatCode="\$#,##0"/>
    <numFmt numFmtId="171" formatCode="0.0%"/>
    <numFmt numFmtId="172" formatCode="0.00%"/>
    <numFmt numFmtId="173" formatCode="\$#,##0;&quot;($&quot;#,##0\);\-"/>
    <numFmt numFmtId="174" formatCode="@"/>
    <numFmt numFmtId="175" formatCode="0%"/>
    <numFmt numFmtId="176" formatCode="mmm\ dd"/>
    <numFmt numFmtId="177" formatCode="#,##0.00"/>
    <numFmt numFmtId="178" formatCode="\$#,##0.00;&quot;($&quot;#,##0.00\);\-"/>
    <numFmt numFmtId="179" formatCode="#,##0.000"/>
    <numFmt numFmtId="180" formatCode="\+#,##0.000;\-#,##0.000;\-"/>
  </numFmts>
  <fonts count="8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FF6B35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0D1B2A"/>
      <name val="Arial"/>
      <family val="0"/>
      <charset val="1"/>
    </font>
    <font>
      <i val="true"/>
      <sz val="10"/>
      <color rgb="FF555555"/>
      <name val="Arial"/>
      <family val="0"/>
      <charset val="1"/>
    </font>
    <font>
      <sz val="10"/>
      <color rgb="FF0D1B2A"/>
      <name val="Arial"/>
      <family val="0"/>
      <charset val="1"/>
    </font>
    <font>
      <b val="true"/>
      <sz val="10"/>
      <color rgb="FFFF6B35"/>
      <name val="Arial"/>
      <family val="0"/>
      <charset val="1"/>
    </font>
    <font>
      <i val="true"/>
      <sz val="9"/>
      <color rgb="FFFF6B35"/>
      <name val="Arial"/>
      <family val="0"/>
      <charset val="1"/>
    </font>
    <font>
      <b val="true"/>
      <sz val="15"/>
      <color rgb="FFF5EDD8"/>
      <name val="Arial"/>
      <family val="0"/>
      <charset val="1"/>
    </font>
    <font>
      <i val="true"/>
      <sz val="10"/>
      <color rgb="FFC8A96E"/>
      <name val="Arial"/>
      <family val="0"/>
      <charset val="1"/>
    </font>
    <font>
      <b val="true"/>
      <sz val="12"/>
      <color rgb="FFF5EDD8"/>
      <name val="Arial"/>
      <family val="0"/>
      <charset val="1"/>
    </font>
    <font>
      <b val="true"/>
      <sz val="10"/>
      <color rgb="FFC8A96E"/>
      <name val="Arial"/>
      <family val="0"/>
      <charset val="1"/>
    </font>
    <font>
      <b val="true"/>
      <sz val="9"/>
      <color rgb="FFFF6B35"/>
      <name val="Arial"/>
      <family val="0"/>
      <charset val="1"/>
    </font>
    <font>
      <sz val="11"/>
      <color rgb="FF0D0D0D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i val="true"/>
      <sz val="8"/>
      <color rgb="FF999999"/>
      <name val="Arial"/>
      <family val="0"/>
      <charset val="1"/>
    </font>
    <font>
      <b val="true"/>
      <sz val="11"/>
      <color rgb="FF0D0D0D"/>
      <name val="Arial"/>
      <family val="0"/>
      <charset val="1"/>
    </font>
    <font>
      <b val="true"/>
      <sz val="11"/>
      <color rgb="FF2D7A2D"/>
      <name val="Arial"/>
      <family val="0"/>
      <charset val="1"/>
    </font>
    <font>
      <b val="true"/>
      <sz val="11"/>
      <color rgb="FFE8A020"/>
      <name val="Courier New"/>
      <family val="0"/>
      <charset val="1"/>
    </font>
    <font>
      <b val="true"/>
      <sz val="12"/>
      <color rgb="FFC8A96E"/>
      <name val="Arial"/>
      <family val="0"/>
      <charset val="1"/>
    </font>
    <font>
      <b val="true"/>
      <sz val="12"/>
      <color rgb="FF2D7A2D"/>
      <name val="Arial"/>
      <family val="0"/>
      <charset val="1"/>
    </font>
    <font>
      <i val="true"/>
      <sz val="11"/>
      <color rgb="FF888888"/>
      <name val="Arial"/>
      <family val="0"/>
      <charset val="1"/>
    </font>
    <font>
      <b val="true"/>
      <sz val="11"/>
      <color rgb="FFC8A96E"/>
      <name val="Arial"/>
      <family val="0"/>
      <charset val="1"/>
    </font>
    <font>
      <b val="true"/>
      <sz val="12"/>
      <color rgb="FFE8A020"/>
      <name val="Arial"/>
      <family val="0"/>
      <charset val="1"/>
    </font>
    <font>
      <i val="true"/>
      <sz val="11"/>
      <color rgb="FFC8A96E"/>
      <name val="Arial"/>
      <family val="0"/>
      <charset val="1"/>
    </font>
    <font>
      <b val="true"/>
      <sz val="11"/>
      <color rgb="FFF5EDD8"/>
      <name val="Arial"/>
      <family val="0"/>
      <charset val="1"/>
    </font>
    <font>
      <b val="true"/>
      <sz val="14"/>
      <color rgb="FF0D1B2A"/>
      <name val="Arial"/>
      <family val="0"/>
      <charset val="1"/>
    </font>
    <font>
      <b val="true"/>
      <sz val="10"/>
      <color rgb="FF1A1A2E"/>
      <name val="Arial"/>
      <family val="0"/>
      <charset val="1"/>
    </font>
    <font>
      <i val="true"/>
      <sz val="9"/>
      <color rgb="FF666666"/>
      <name val="Arial"/>
      <family val="0"/>
      <charset val="1"/>
    </font>
    <font>
      <i val="true"/>
      <sz val="9"/>
      <color rgb="FF999999"/>
      <name val="Arial"/>
      <family val="0"/>
      <charset val="1"/>
    </font>
    <font>
      <b val="true"/>
      <sz val="11"/>
      <color rgb="FF006600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0"/>
      <color rgb="FF0066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5"/>
      <color rgb="FFFFFFFF"/>
      <name val="Arial"/>
      <family val="0"/>
      <charset val="1"/>
    </font>
    <font>
      <b val="true"/>
      <sz val="9"/>
      <color rgb="FFFFD700"/>
      <name val="Arial"/>
      <family val="0"/>
      <charset val="1"/>
    </font>
    <font>
      <sz val="9"/>
      <color rgb="FF1A1A2E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b val="true"/>
      <sz val="9"/>
      <color rgb="FF0D1B2A"/>
      <name val="Arial"/>
      <family val="0"/>
      <charset val="1"/>
    </font>
    <font>
      <b val="true"/>
      <sz val="10"/>
      <color rgb="FF004488"/>
      <name val="Arial"/>
      <family val="0"/>
      <charset val="1"/>
    </font>
    <font>
      <b val="true"/>
      <sz val="11"/>
      <color rgb="FF0D1B2A"/>
      <name val="Arial"/>
      <family val="0"/>
      <charset val="1"/>
    </font>
    <font>
      <b val="true"/>
      <sz val="11"/>
      <color rgb="FFFF6B35"/>
      <name val="Arial"/>
      <family val="0"/>
      <charset val="1"/>
    </font>
    <font>
      <i val="true"/>
      <sz val="9"/>
      <color rgb="FF1A1A2E"/>
      <name val="Arial"/>
      <family val="0"/>
      <charset val="1"/>
    </font>
    <font>
      <sz val="10"/>
      <color rgb="FF004488"/>
      <name val="Arial"/>
      <family val="0"/>
      <charset val="1"/>
    </font>
    <font>
      <sz val="10"/>
      <color rgb="FF1A1A2E"/>
      <name val="Arial"/>
      <family val="0"/>
      <charset val="1"/>
    </font>
    <font>
      <sz val="10"/>
      <color rgb="FF006600"/>
      <name val="Arial"/>
      <family val="0"/>
      <charset val="1"/>
    </font>
    <font>
      <sz val="10"/>
      <color rgb="FF008080"/>
      <name val="Arial"/>
      <family val="0"/>
      <charset val="1"/>
    </font>
    <font>
      <sz val="10"/>
      <color rgb="FFFF6B35"/>
      <name val="Arial"/>
      <family val="0"/>
      <charset val="1"/>
    </font>
    <font>
      <b val="true"/>
      <sz val="10"/>
      <color rgb="FF008080"/>
      <name val="Arial"/>
      <family val="0"/>
      <charset val="1"/>
    </font>
    <font>
      <i val="true"/>
      <sz val="9"/>
      <color rgb="FF777777"/>
      <name val="Arial"/>
      <family val="0"/>
      <charset val="1"/>
    </font>
    <font>
      <b val="true"/>
      <sz val="8"/>
      <color rgb="FF1A1A2E"/>
      <name val="Arial"/>
      <family val="0"/>
      <charset val="1"/>
    </font>
    <font>
      <b val="true"/>
      <sz val="8"/>
      <name val="Arial"/>
      <family val="0"/>
      <charset val="1"/>
    </font>
    <font>
      <b val="true"/>
      <sz val="8"/>
      <color rgb="FFFF6B35"/>
      <name val="Arial"/>
      <family val="0"/>
      <charset val="1"/>
    </font>
    <font>
      <b val="true"/>
      <sz val="8"/>
      <color rgb="FFFFFFFF"/>
      <name val="Arial"/>
      <family val="0"/>
      <charset val="1"/>
    </font>
    <font>
      <b val="true"/>
      <sz val="8"/>
      <color rgb="FFFFD700"/>
      <name val="Arial"/>
      <family val="0"/>
      <charset val="1"/>
    </font>
    <font>
      <b val="true"/>
      <sz val="8"/>
      <color rgb="FFAACCFF"/>
      <name val="Arial"/>
      <family val="0"/>
      <charset val="1"/>
    </font>
    <font>
      <b val="true"/>
      <sz val="8"/>
      <color rgb="FFDDAAFF"/>
      <name val="Arial"/>
      <family val="0"/>
      <charset val="1"/>
    </font>
    <font>
      <b val="true"/>
      <sz val="9"/>
      <color rgb="FF003399"/>
      <name val="Arial"/>
      <family val="0"/>
      <charset val="1"/>
    </font>
    <font>
      <sz val="9"/>
      <color rgb="FF336699"/>
      <name val="Arial"/>
      <family val="0"/>
      <charset val="1"/>
    </font>
    <font>
      <sz val="9"/>
      <color rgb="FF334466"/>
      <name val="Arial"/>
      <family val="0"/>
      <charset val="1"/>
    </font>
    <font>
      <sz val="9"/>
      <color rgb="FF555566"/>
      <name val="Arial"/>
      <family val="0"/>
      <charset val="1"/>
    </font>
    <font>
      <sz val="9"/>
      <color rgb="FF003399"/>
      <name val="Arial"/>
      <family val="0"/>
      <charset val="1"/>
    </font>
    <font>
      <b val="true"/>
      <sz val="9"/>
      <color rgb="FF5B2D8E"/>
      <name val="Arial"/>
      <family val="0"/>
      <charset val="1"/>
    </font>
    <font>
      <sz val="9"/>
      <color rgb="FF7744AA"/>
      <name val="Arial"/>
      <family val="0"/>
      <charset val="1"/>
    </font>
    <font>
      <sz val="9"/>
      <color rgb="FF441166"/>
      <name val="Arial"/>
      <family val="0"/>
      <charset val="1"/>
    </font>
    <font>
      <sz val="9"/>
      <color rgb="FF553377"/>
      <name val="Arial"/>
      <family val="0"/>
      <charset val="1"/>
    </font>
    <font>
      <sz val="9"/>
      <color rgb="FF5B2D8E"/>
      <name val="Arial"/>
      <family val="0"/>
      <charset val="1"/>
    </font>
    <font>
      <b val="true"/>
      <sz val="9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1A1A2E"/>
      <name val="Arial"/>
      <family val="0"/>
      <charset val="1"/>
    </font>
    <font>
      <b val="true"/>
      <sz val="10"/>
      <color rgb="FF003399"/>
      <name val="Arial"/>
      <family val="0"/>
      <charset val="1"/>
    </font>
    <font>
      <b val="true"/>
      <sz val="10"/>
      <color rgb="FF336699"/>
      <name val="Arial"/>
      <family val="0"/>
      <charset val="1"/>
    </font>
    <font>
      <b val="true"/>
      <sz val="10"/>
      <color rgb="FF5B2D8E"/>
      <name val="Arial"/>
      <family val="0"/>
      <charset val="1"/>
    </font>
    <font>
      <b val="true"/>
      <sz val="10"/>
      <color rgb="FF7744AA"/>
      <name val="Arial"/>
      <family val="0"/>
      <charset val="1"/>
    </font>
  </fonts>
  <fills count="32">
    <fill>
      <patternFill patternType="none"/>
    </fill>
    <fill>
      <patternFill patternType="gray125"/>
    </fill>
    <fill>
      <patternFill patternType="solid">
        <fgColor rgb="FF0D1B2A"/>
        <bgColor rgb="FF1A1A2A"/>
      </patternFill>
    </fill>
    <fill>
      <patternFill patternType="solid">
        <fgColor rgb="FFFF6B35"/>
        <bgColor rgb="FFE8A020"/>
      </patternFill>
    </fill>
    <fill>
      <patternFill patternType="solid">
        <fgColor rgb="FFFFF0E6"/>
        <bgColor rgb="FFFFF5EC"/>
      </patternFill>
    </fill>
    <fill>
      <patternFill patternType="solid">
        <fgColor rgb="FFFFF8E7"/>
        <bgColor rgb="FFFFF5EC"/>
      </patternFill>
    </fill>
    <fill>
      <patternFill patternType="solid">
        <fgColor rgb="FF0D0D0D"/>
        <bgColor rgb="FF000000"/>
      </patternFill>
    </fill>
    <fill>
      <patternFill patternType="solid">
        <fgColor rgb="FF1A2A3A"/>
        <bgColor rgb="FF1A2E4A"/>
      </patternFill>
    </fill>
    <fill>
      <patternFill patternType="solid">
        <fgColor rgb="FFF5EAD0"/>
        <bgColor rgb="FFF5EDD8"/>
      </patternFill>
    </fill>
    <fill>
      <patternFill patternType="solid">
        <fgColor rgb="FFE8F4FD"/>
        <bgColor rgb="FFE8F0FF"/>
      </patternFill>
    </fill>
    <fill>
      <patternFill patternType="solid">
        <fgColor rgb="FFFFFFFF"/>
        <bgColor rgb="FFFFFAF5"/>
      </patternFill>
    </fill>
    <fill>
      <patternFill patternType="solid">
        <fgColor rgb="FFEDD9A3"/>
        <bgColor rgb="FFE8DCC8"/>
      </patternFill>
    </fill>
    <fill>
      <patternFill patternType="solid">
        <fgColor rgb="FFEAF5EA"/>
        <bgColor rgb="FFE8F8F0"/>
      </patternFill>
    </fill>
    <fill>
      <patternFill patternType="solid">
        <fgColor rgb="FF1A1A2A"/>
        <bgColor rgb="FF1A1A2E"/>
      </patternFill>
    </fill>
    <fill>
      <patternFill patternType="solid">
        <fgColor rgb="FFD6E8FA"/>
        <bgColor rgb="FFE8F0FF"/>
      </patternFill>
    </fill>
    <fill>
      <patternFill patternType="solid">
        <fgColor rgb="FFFFF8DC"/>
        <bgColor rgb="FFFFF8E7"/>
      </patternFill>
    </fill>
    <fill>
      <patternFill patternType="solid">
        <fgColor rgb="FFF5F5F5"/>
        <bgColor rgb="FFF8F5FF"/>
      </patternFill>
    </fill>
    <fill>
      <patternFill patternType="solid">
        <fgColor rgb="FFE8F8F0"/>
        <bgColor rgb="FFEAF5EA"/>
      </patternFill>
    </fill>
    <fill>
      <patternFill patternType="solid">
        <fgColor rgb="FFEEF6FF"/>
        <bgColor rgb="FFE8F4FD"/>
      </patternFill>
    </fill>
    <fill>
      <patternFill patternType="solid">
        <fgColor rgb="FF1A2E4A"/>
        <bgColor rgb="FF1A2A3A"/>
      </patternFill>
    </fill>
    <fill>
      <patternFill patternType="solid">
        <fgColor rgb="FF006600"/>
        <bgColor rgb="FF2D7A2D"/>
      </patternFill>
    </fill>
    <fill>
      <patternFill patternType="solid">
        <fgColor rgb="FF1A3A6A"/>
        <bgColor rgb="FF1A2E4A"/>
      </patternFill>
    </fill>
    <fill>
      <patternFill patternType="solid">
        <fgColor rgb="FF5B2D8E"/>
        <bgColor rgb="FF553377"/>
      </patternFill>
    </fill>
    <fill>
      <patternFill patternType="solid">
        <fgColor rgb="FF2D6A4F"/>
        <bgColor rgb="FF2D7A2D"/>
      </patternFill>
    </fill>
    <fill>
      <patternFill patternType="solid">
        <fgColor rgb="FF6B3A1A"/>
        <bgColor rgb="FF3A3A3A"/>
      </patternFill>
    </fill>
    <fill>
      <patternFill patternType="solid">
        <fgColor rgb="FF3A3A3A"/>
        <bgColor rgb="FF334466"/>
      </patternFill>
    </fill>
    <fill>
      <patternFill patternType="solid">
        <fgColor rgb="FFF5F8FF"/>
        <bgColor rgb="FFF8F5FF"/>
      </patternFill>
    </fill>
    <fill>
      <patternFill patternType="solid">
        <fgColor rgb="FFF8F5FF"/>
        <bgColor rgb="FFF5F8FF"/>
      </patternFill>
    </fill>
    <fill>
      <patternFill patternType="solid">
        <fgColor rgb="FFFFFAF5"/>
        <bgColor rgb="FFFFF5EC"/>
      </patternFill>
    </fill>
    <fill>
      <patternFill patternType="solid">
        <fgColor rgb="FFE8F0FF"/>
        <bgColor rgb="FFE8F4FD"/>
      </patternFill>
    </fill>
    <fill>
      <patternFill patternType="solid">
        <fgColor rgb="FFF0E8FF"/>
        <bgColor rgb="FFE8F0FF"/>
      </patternFill>
    </fill>
    <fill>
      <patternFill patternType="solid">
        <fgColor rgb="FFFFF5EC"/>
        <bgColor rgb="FFFFF8E7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E8DCC8"/>
      </left>
      <right style="thin">
        <color rgb="FFE8DCC8"/>
      </right>
      <top style="thin">
        <color rgb="FFE8DCC8"/>
      </top>
      <bottom style="thin">
        <color rgb="FFE8DCC8"/>
      </bottom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9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8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9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1" fillId="11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21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8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1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8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2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3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1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5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6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1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7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9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8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8" fillId="1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8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8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8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8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0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8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8" fillId="1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8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1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8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2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19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2" fillId="1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2" fillId="16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9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2" fillId="1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35" fillId="1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4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37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37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37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38" fillId="1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32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1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7" fillId="1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37" fillId="1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37" fillId="1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32" fillId="1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1" fillId="1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1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37" fillId="1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18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8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18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0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1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1" fillId="1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2" fillId="1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38" fillId="1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9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3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19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19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43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9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9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38" fillId="1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1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6" fillId="2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4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42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45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2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6" fillId="1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8" fillId="1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2" fillId="1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42" fillId="1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49" fillId="1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2" fillId="1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38" fillId="1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6" fillId="1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7" fillId="1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8" fillId="1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2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42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49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2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38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6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7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8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0" fillId="1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51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0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8" fontId="50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52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1" fillId="1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3" fillId="1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1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38" fillId="1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1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32" fillId="1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8" fontId="11" fillId="1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54" fillId="1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38" fillId="1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1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6" fillId="1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7" fillId="16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8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35" fillId="1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35" fillId="1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9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35" fillId="1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35" fillId="1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1" fillId="21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1" fillId="2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6" fillId="2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1" fillId="2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9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0" fillId="2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1" fillId="2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9" fillId="2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0" fillId="2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2" fillId="2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9" fillId="2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9" fillId="2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0" fillId="2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9" fillId="2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2" fillId="2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42" fillId="2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9" fontId="63" fillId="2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9" fontId="64" fillId="2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5" fillId="2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6" fillId="2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63" fillId="2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9" fontId="67" fillId="2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9" fontId="68" fillId="2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9" fontId="69" fillId="2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0" fillId="2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1" fillId="2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68" fillId="2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9" fontId="72" fillId="2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9" fontId="19" fillId="1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73" fillId="2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8" fillId="28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2" fillId="2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42" fillId="2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9" fontId="63" fillId="2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9" fontId="64" fillId="2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5" fillId="2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6" fillId="2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63" fillId="2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9" fontId="67" fillId="2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9" fontId="68" fillId="3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9" fontId="69" fillId="3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0" fillId="3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1" fillId="3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68" fillId="3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9" fontId="72" fillId="3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0" fontId="73" fillId="3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8" fillId="31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5" fillId="16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76" fillId="1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9" fontId="77" fillId="1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76" fillId="1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9" fontId="38" fillId="1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9" fontId="78" fillId="1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9" fontId="79" fillId="1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78" fillId="1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1" fillId="1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FAF5"/>
      <rgbColor rgb="FFF5F8FF"/>
      <rgbColor rgb="FF0000FF"/>
      <rgbColor rgb="FFF5EDD8"/>
      <rgbColor rgb="FFF8F5FF"/>
      <rgbColor rgb="FFE8F0FF"/>
      <rgbColor rgb="FF0D0D0D"/>
      <rgbColor rgb="FF006600"/>
      <rgbColor rgb="FF1A1A2E"/>
      <rgbColor rgb="FF777777"/>
      <rgbColor rgb="FF553377"/>
      <rgbColor rgb="FF008080"/>
      <rgbColor rgb="FFCCCCCC"/>
      <rgbColor rgb="FF888888"/>
      <rgbColor rgb="FFF0E8FF"/>
      <rgbColor rgb="FF7744AA"/>
      <rgbColor rgb="FFFFF8DC"/>
      <rgbColor rgb="FFE8F8F0"/>
      <rgbColor rgb="FF441166"/>
      <rgbColor rgb="FFC8A96E"/>
      <rgbColor rgb="FF336699"/>
      <rgbColor rgb="FFD6E8FA"/>
      <rgbColor rgb="FF1A1A2A"/>
      <rgbColor rgb="FFFFF5EC"/>
      <rgbColor rgb="FFFFF8E7"/>
      <rgbColor rgb="FFEEF6FF"/>
      <rgbColor rgb="FF1A2E4A"/>
      <rgbColor rgb="FF555555"/>
      <rgbColor rgb="FF2D6A4F"/>
      <rgbColor rgb="FF003399"/>
      <rgbColor rgb="FFF5F5F5"/>
      <rgbColor rgb="FFE8F4FD"/>
      <rgbColor rgb="FFEAF5EA"/>
      <rgbColor rgb="FFF5EAD0"/>
      <rgbColor rgb="FFAACCFF"/>
      <rgbColor rgb="FFE8DCC8"/>
      <rgbColor rgb="FFDDAAFF"/>
      <rgbColor rgb="FFEDD9A3"/>
      <rgbColor rgb="FF004488"/>
      <rgbColor rgb="FF555566"/>
      <rgbColor rgb="FFFFF0E6"/>
      <rgbColor rgb="FFFFD700"/>
      <rgbColor rgb="FFE8A020"/>
      <rgbColor rgb="FFFF6B35"/>
      <rgbColor rgb="FF666666"/>
      <rgbColor rgb="FF999999"/>
      <rgbColor rgb="FF1A3A6A"/>
      <rgbColor rgb="FF2D7A2D"/>
      <rgbColor rgb="FF0D1B2A"/>
      <rgbColor rgb="FF1A2A3A"/>
      <rgbColor rgb="FF6B3A1A"/>
      <rgbColor rgb="FF5B2D8E"/>
      <rgbColor rgb="FF334466"/>
      <rgbColor rgb="FF3A3A3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60"/>
    <col collapsed="false" customWidth="true" hidden="false" outlineLevel="0" max="2" min="2" style="1" width="35"/>
  </cols>
  <sheetData>
    <row r="1" customFormat="false" ht="49.5" hidden="false" customHeight="true" outlineLevel="0" collapsed="false">
      <c r="A1" s="2" t="s">
        <v>0</v>
      </c>
      <c r="B1" s="2"/>
    </row>
    <row r="2" customFormat="false" ht="18" hidden="false" customHeight="true" outlineLevel="0" collapsed="false">
      <c r="A2" s="3" t="s">
        <v>1</v>
      </c>
      <c r="B2" s="3"/>
    </row>
    <row r="3" customFormat="false" ht="18" hidden="false" customHeight="true" outlineLevel="0" collapsed="false"/>
    <row r="4" customFormat="false" ht="18" hidden="false" customHeight="true" outlineLevel="0" collapsed="false">
      <c r="A4" s="4" t="s">
        <v>2</v>
      </c>
      <c r="B4" s="4"/>
    </row>
    <row r="5" customFormat="false" ht="18" hidden="false" customHeight="true" outlineLevel="0" collapsed="false"/>
    <row r="6" customFormat="false" ht="18" hidden="false" customHeight="true" outlineLevel="0" collapsed="false">
      <c r="A6" s="5" t="s">
        <v>3</v>
      </c>
      <c r="B6" s="6" t="s">
        <v>4</v>
      </c>
    </row>
    <row r="7" customFormat="false" ht="18" hidden="false" customHeight="true" outlineLevel="0" collapsed="false">
      <c r="A7" s="7"/>
      <c r="B7" s="8" t="s">
        <v>5</v>
      </c>
    </row>
    <row r="8" customFormat="false" ht="18" hidden="false" customHeight="true" outlineLevel="0" collapsed="false"/>
    <row r="9" customFormat="false" ht="18" hidden="false" customHeight="true" outlineLevel="0" collapsed="false">
      <c r="A9" s="5" t="s">
        <v>6</v>
      </c>
      <c r="B9" s="6" t="s">
        <v>7</v>
      </c>
    </row>
    <row r="10" customFormat="false" ht="18" hidden="false" customHeight="true" outlineLevel="0" collapsed="false">
      <c r="A10" s="7"/>
      <c r="B10" s="8" t="s">
        <v>8</v>
      </c>
    </row>
    <row r="11" customFormat="false" ht="18" hidden="false" customHeight="true" outlineLevel="0" collapsed="false">
      <c r="A11" s="7"/>
      <c r="B11" s="8" t="s">
        <v>9</v>
      </c>
    </row>
    <row r="12" customFormat="false" ht="18" hidden="false" customHeight="true" outlineLevel="0" collapsed="false"/>
    <row r="13" customFormat="false" ht="18" hidden="false" customHeight="true" outlineLevel="0" collapsed="false">
      <c r="A13" s="5" t="s">
        <v>10</v>
      </c>
      <c r="B13" s="6" t="s">
        <v>11</v>
      </c>
    </row>
    <row r="14" customFormat="false" ht="18" hidden="false" customHeight="true" outlineLevel="0" collapsed="false">
      <c r="A14" s="7"/>
      <c r="B14" s="8" t="s">
        <v>12</v>
      </c>
    </row>
    <row r="15" customFormat="false" ht="18" hidden="false" customHeight="true" outlineLevel="0" collapsed="false">
      <c r="A15" s="7"/>
      <c r="B15" s="8" t="s">
        <v>13</v>
      </c>
    </row>
    <row r="16" customFormat="false" ht="18" hidden="false" customHeight="true" outlineLevel="0" collapsed="false"/>
    <row r="17" customFormat="false" ht="18" hidden="false" customHeight="true" outlineLevel="0" collapsed="false">
      <c r="A17" s="5" t="s">
        <v>14</v>
      </c>
      <c r="B17" s="6" t="s">
        <v>15</v>
      </c>
    </row>
    <row r="18" customFormat="false" ht="18" hidden="false" customHeight="true" outlineLevel="0" collapsed="false">
      <c r="A18" s="7"/>
      <c r="B18" s="8" t="s">
        <v>16</v>
      </c>
    </row>
    <row r="19" customFormat="false" ht="18" hidden="false" customHeight="true" outlineLevel="0" collapsed="false">
      <c r="A19" s="7"/>
      <c r="B19" s="8" t="s">
        <v>17</v>
      </c>
    </row>
    <row r="20" customFormat="false" ht="18" hidden="false" customHeight="true" outlineLevel="0" collapsed="false"/>
    <row r="21" customFormat="false" ht="18" hidden="false" customHeight="true" outlineLevel="0" collapsed="false">
      <c r="A21" s="5" t="s">
        <v>18</v>
      </c>
      <c r="B21" s="6" t="s">
        <v>19</v>
      </c>
    </row>
    <row r="22" customFormat="false" ht="18" hidden="false" customHeight="true" outlineLevel="0" collapsed="false">
      <c r="A22" s="7"/>
      <c r="B22" s="8" t="s">
        <v>20</v>
      </c>
    </row>
    <row r="23" customFormat="false" ht="18" hidden="false" customHeight="true" outlineLevel="0" collapsed="false">
      <c r="A23" s="7"/>
      <c r="B23" s="8" t="s">
        <v>21</v>
      </c>
    </row>
    <row r="24" customFormat="false" ht="18" hidden="false" customHeight="true" outlineLevel="0" collapsed="false"/>
    <row r="25" customFormat="false" ht="18" hidden="false" customHeight="true" outlineLevel="0" collapsed="false"/>
    <row r="26" customFormat="false" ht="18" hidden="false" customHeight="true" outlineLevel="0" collapsed="false">
      <c r="A26" s="9" t="s">
        <v>22</v>
      </c>
      <c r="B26" s="10"/>
    </row>
    <row r="27" customFormat="false" ht="18" hidden="false" customHeight="true" outlineLevel="0" collapsed="false"/>
    <row r="28" customFormat="false" ht="18" hidden="false" customHeight="true" outlineLevel="0" collapsed="false">
      <c r="A28" s="9" t="s">
        <v>23</v>
      </c>
      <c r="B28" s="10" t="s">
        <v>24</v>
      </c>
    </row>
    <row r="29" customFormat="false" ht="18" hidden="false" customHeight="true" outlineLevel="0" collapsed="false">
      <c r="A29" s="8" t="s">
        <v>25</v>
      </c>
      <c r="B29" s="11" t="s">
        <v>26</v>
      </c>
    </row>
    <row r="30" customFormat="false" ht="18" hidden="false" customHeight="true" outlineLevel="0" collapsed="false">
      <c r="A30" s="8" t="s">
        <v>27</v>
      </c>
      <c r="B30" s="11" t="s">
        <v>28</v>
      </c>
    </row>
    <row r="31" customFormat="false" ht="18" hidden="false" customHeight="true" outlineLevel="0" collapsed="false">
      <c r="A31" s="8" t="s">
        <v>29</v>
      </c>
      <c r="B31" s="11" t="s">
        <v>30</v>
      </c>
    </row>
    <row r="32" customFormat="false" ht="18" hidden="false" customHeight="true" outlineLevel="0" collapsed="false"/>
    <row r="33" customFormat="false" ht="18" hidden="false" customHeight="true" outlineLevel="0" collapsed="false">
      <c r="A33" s="9" t="s">
        <v>31</v>
      </c>
      <c r="B33" s="10" t="s">
        <v>32</v>
      </c>
    </row>
    <row r="34" customFormat="false" ht="18" hidden="false" customHeight="true" outlineLevel="0" collapsed="false">
      <c r="A34" s="7"/>
      <c r="B34" s="8" t="s">
        <v>33</v>
      </c>
    </row>
    <row r="35" customFormat="false" ht="18" hidden="false" customHeight="true" outlineLevel="0" collapsed="false">
      <c r="A35" s="7"/>
      <c r="B35" s="8" t="s">
        <v>34</v>
      </c>
    </row>
    <row r="36" customFormat="false" ht="18" hidden="false" customHeight="true" outlineLevel="0" collapsed="false"/>
    <row r="37" customFormat="false" ht="18" hidden="false" customHeight="true" outlineLevel="0" collapsed="false"/>
    <row r="38" customFormat="false" ht="18" hidden="false" customHeight="true" outlineLevel="0" collapsed="false">
      <c r="A38" s="12" t="s">
        <v>35</v>
      </c>
      <c r="B38" s="12"/>
    </row>
  </sheetData>
  <mergeCells count="4">
    <mergeCell ref="A1:B1"/>
    <mergeCell ref="A2:B2"/>
    <mergeCell ref="A4:B4"/>
    <mergeCell ref="A38:B3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4"/>
    <col collapsed="false" customWidth="true" hidden="false" outlineLevel="0" max="6" min="2" style="1" width="18"/>
  </cols>
  <sheetData>
    <row r="1" customFormat="false" ht="9.75" hidden="false" customHeight="true" outlineLevel="0" collapsed="false">
      <c r="A1" s="13"/>
    </row>
    <row r="2" customFormat="false" ht="36" hidden="false" customHeight="true" outlineLevel="0" collapsed="false">
      <c r="A2" s="13" t="s">
        <v>36</v>
      </c>
    </row>
    <row r="3" customFormat="false" ht="19.5" hidden="false" customHeight="true" outlineLevel="0" collapsed="false">
      <c r="A3" s="14" t="s">
        <v>37</v>
      </c>
      <c r="B3" s="14"/>
      <c r="C3" s="14"/>
      <c r="D3" s="14"/>
      <c r="E3" s="14"/>
      <c r="F3" s="14"/>
      <c r="G3" s="14"/>
      <c r="H3" s="14"/>
    </row>
    <row r="5" customFormat="false" ht="25.5" hidden="false" customHeight="true" outlineLevel="0" collapsed="false">
      <c r="A5" s="15" t="s">
        <v>38</v>
      </c>
      <c r="B5" s="15"/>
      <c r="C5" s="15"/>
      <c r="D5" s="15"/>
      <c r="E5" s="15"/>
      <c r="F5" s="15"/>
    </row>
    <row r="6" customFormat="false" ht="24" hidden="false" customHeight="true" outlineLevel="0" collapsed="false">
      <c r="A6" s="16" t="s">
        <v>39</v>
      </c>
      <c r="B6" s="16" t="s">
        <v>40</v>
      </c>
      <c r="C6" s="16" t="s">
        <v>41</v>
      </c>
      <c r="D6" s="16" t="s">
        <v>42</v>
      </c>
      <c r="E6" s="16" t="s">
        <v>43</v>
      </c>
      <c r="F6" s="16" t="s">
        <v>44</v>
      </c>
      <c r="G6" s="17" t="s">
        <v>45</v>
      </c>
    </row>
    <row r="7" customFormat="false" ht="21.75" hidden="false" customHeight="true" outlineLevel="0" collapsed="false">
      <c r="A7" s="18" t="s">
        <v>46</v>
      </c>
      <c r="B7" s="19"/>
      <c r="C7" s="20"/>
      <c r="D7" s="21" t="n">
        <f aca="false">B7*C7</f>
        <v>0</v>
      </c>
      <c r="E7" s="22"/>
      <c r="F7" s="21" t="n">
        <f aca="false">B7*E7</f>
        <v>0</v>
      </c>
      <c r="G7" s="23" t="s">
        <v>47</v>
      </c>
    </row>
    <row r="8" customFormat="false" ht="21.75" hidden="false" customHeight="true" outlineLevel="0" collapsed="false">
      <c r="A8" s="18" t="s">
        <v>48</v>
      </c>
      <c r="B8" s="19"/>
      <c r="C8" s="20"/>
      <c r="D8" s="21" t="n">
        <f aca="false">B8*C8</f>
        <v>0</v>
      </c>
      <c r="E8" s="22"/>
      <c r="F8" s="21" t="n">
        <f aca="false">B8*E8</f>
        <v>0</v>
      </c>
      <c r="G8" s="23" t="s">
        <v>49</v>
      </c>
    </row>
    <row r="9" customFormat="false" ht="21.75" hidden="false" customHeight="true" outlineLevel="0" collapsed="false">
      <c r="A9" s="24" t="s">
        <v>50</v>
      </c>
      <c r="B9" s="25" t="n">
        <f aca="false">B7+B8</f>
        <v>0</v>
      </c>
      <c r="C9" s="26"/>
      <c r="D9" s="27" t="n">
        <f aca="false">B9*C9</f>
        <v>0</v>
      </c>
      <c r="E9" s="28" t="n">
        <f aca="false">E7</f>
        <v>0</v>
      </c>
      <c r="F9" s="29" t="n">
        <f aca="false">B9*E7+B8*E8</f>
        <v>0</v>
      </c>
    </row>
    <row r="11" customFormat="false" ht="25.5" hidden="false" customHeight="true" outlineLevel="0" collapsed="false">
      <c r="A11" s="30" t="str">
        <f aca="false">REPT("█",INT(B9/10000*30))&amp;REPT("░",30-INT(B9/10000*30))&amp;"  "&amp;TEXT(B9,"#,##0")&amp;" / 10,000  ("&amp;TEXT(B9/10000,"0%")&amp;"  to target)"</f>
        <v>░░░░░░░░░░░░░░░░░░░░░░░░░░░░░░  0 / 10,000  (0%  to target)</v>
      </c>
      <c r="B11" s="30"/>
      <c r="C11" s="30"/>
      <c r="D11" s="30"/>
      <c r="E11" s="30"/>
      <c r="F11" s="30"/>
    </row>
    <row r="13" customFormat="false" ht="25.5" hidden="false" customHeight="true" outlineLevel="0" collapsed="false">
      <c r="A13" s="31" t="s">
        <v>51</v>
      </c>
      <c r="B13" s="31"/>
      <c r="C13" s="31"/>
      <c r="D13" s="31"/>
      <c r="E13" s="31"/>
      <c r="F13" s="31"/>
    </row>
    <row r="14" customFormat="false" ht="24" hidden="false" customHeight="true" outlineLevel="0" collapsed="false">
      <c r="A14" s="16" t="s">
        <v>39</v>
      </c>
      <c r="B14" s="16" t="s">
        <v>40</v>
      </c>
      <c r="C14" s="16" t="s">
        <v>41</v>
      </c>
      <c r="D14" s="16" t="s">
        <v>42</v>
      </c>
      <c r="E14" s="16" t="s">
        <v>43</v>
      </c>
      <c r="F14" s="16" t="s">
        <v>44</v>
      </c>
    </row>
    <row r="15" customFormat="false" ht="21.75" hidden="false" customHeight="true" outlineLevel="0" collapsed="false">
      <c r="A15" s="18" t="s">
        <v>46</v>
      </c>
      <c r="B15" s="19"/>
      <c r="C15" s="20"/>
      <c r="D15" s="21" t="n">
        <f aca="false">B15*C15</f>
        <v>0</v>
      </c>
      <c r="E15" s="22"/>
      <c r="F15" s="21" t="n">
        <f aca="false">B15*E15</f>
        <v>0</v>
      </c>
      <c r="G15" s="23" t="s">
        <v>47</v>
      </c>
    </row>
    <row r="16" customFormat="false" ht="21.75" hidden="false" customHeight="true" outlineLevel="0" collapsed="false">
      <c r="A16" s="18" t="s">
        <v>48</v>
      </c>
      <c r="B16" s="19"/>
      <c r="C16" s="20"/>
      <c r="D16" s="21" t="n">
        <f aca="false">B16*C16</f>
        <v>0</v>
      </c>
      <c r="E16" s="22"/>
      <c r="F16" s="21" t="n">
        <f aca="false">B16*E16</f>
        <v>0</v>
      </c>
      <c r="G16" s="23" t="s">
        <v>49</v>
      </c>
    </row>
    <row r="17" customFormat="false" ht="21.75" hidden="false" customHeight="true" outlineLevel="0" collapsed="false">
      <c r="A17" s="24" t="s">
        <v>50</v>
      </c>
      <c r="B17" s="25" t="n">
        <f aca="false">B15+B16</f>
        <v>0</v>
      </c>
      <c r="C17" s="26"/>
      <c r="D17" s="27" t="n">
        <f aca="false">B17*C17</f>
        <v>0</v>
      </c>
      <c r="E17" s="28" t="n">
        <f aca="false">E15</f>
        <v>0</v>
      </c>
      <c r="F17" s="29" t="n">
        <f aca="false">B17*E15+B16*E16</f>
        <v>0</v>
      </c>
    </row>
    <row r="19" customFormat="false" ht="25.5" hidden="false" customHeight="true" outlineLevel="0" collapsed="false">
      <c r="A19" s="30" t="str">
        <f aca="false">REPT("█",INT(B17/10000*30))&amp;REPT("░",30-INT(B17/10000*30))&amp;"  "&amp;TEXT(B17,"#,##0")&amp;" / 10,000  ("&amp;TEXT(B17/10000,"0%")&amp;"  to target)"</f>
        <v>░░░░░░░░░░░░░░░░░░░░░░░░░░░░░░  0 / 10,000  (0%  to target)</v>
      </c>
      <c r="B19" s="30"/>
      <c r="C19" s="30"/>
      <c r="D19" s="30"/>
      <c r="E19" s="30"/>
      <c r="F19" s="30"/>
    </row>
    <row r="21" customFormat="false" ht="25.5" hidden="false" customHeight="true" outlineLevel="0" collapsed="false">
      <c r="A21" s="32" t="s">
        <v>52</v>
      </c>
      <c r="B21" s="32"/>
      <c r="C21" s="32"/>
      <c r="D21" s="32"/>
      <c r="E21" s="32"/>
      <c r="F21" s="32"/>
    </row>
    <row r="22" customFormat="false" ht="24" hidden="false" customHeight="true" outlineLevel="0" collapsed="false">
      <c r="A22" s="33" t="s">
        <v>53</v>
      </c>
      <c r="B22" s="33"/>
      <c r="C22" s="33"/>
      <c r="D22" s="34" t="n">
        <f aca="false">F9</f>
        <v>0</v>
      </c>
      <c r="E22" s="35"/>
      <c r="F22" s="35"/>
    </row>
    <row r="23" customFormat="false" ht="24" hidden="false" customHeight="true" outlineLevel="0" collapsed="false">
      <c r="A23" s="33" t="s">
        <v>54</v>
      </c>
      <c r="B23" s="33"/>
      <c r="C23" s="33"/>
      <c r="D23" s="34" t="n">
        <f aca="false">F17</f>
        <v>0</v>
      </c>
      <c r="E23" s="35" t="s">
        <v>55</v>
      </c>
      <c r="F23" s="35"/>
    </row>
    <row r="24" customFormat="false" ht="24" hidden="false" customHeight="true" outlineLevel="0" collapsed="false">
      <c r="A24" s="24" t="s">
        <v>56</v>
      </c>
      <c r="B24" s="24"/>
      <c r="C24" s="24"/>
      <c r="D24" s="34" t="n">
        <f aca="false">F9+F17</f>
        <v>0</v>
      </c>
      <c r="E24" s="36" t="s">
        <v>57</v>
      </c>
      <c r="F24" s="36"/>
    </row>
    <row r="25" customFormat="false" ht="24" hidden="false" customHeight="true" outlineLevel="0" collapsed="false">
      <c r="A25" s="24" t="s">
        <v>58</v>
      </c>
      <c r="B25" s="24"/>
      <c r="C25" s="24"/>
      <c r="D25" s="34" t="n">
        <f aca="false">(F9+F17)*4</f>
        <v>0</v>
      </c>
      <c r="E25" s="36" t="s">
        <v>59</v>
      </c>
      <c r="F25" s="36"/>
    </row>
    <row r="26" customFormat="false" ht="24" hidden="false" customHeight="true" outlineLevel="0" collapsed="false">
      <c r="A26" s="24" t="s">
        <v>60</v>
      </c>
      <c r="B26" s="24"/>
      <c r="C26" s="24"/>
      <c r="D26" s="34" t="n">
        <f aca="false">(F9+F17)*52</f>
        <v>0</v>
      </c>
      <c r="E26" s="36" t="s">
        <v>61</v>
      </c>
      <c r="F26" s="36"/>
    </row>
    <row r="27" customFormat="false" ht="24" hidden="false" customHeight="true" outlineLevel="0" collapsed="false">
      <c r="A27" s="37" t="s">
        <v>62</v>
      </c>
      <c r="B27" s="37"/>
      <c r="C27" s="37"/>
      <c r="D27" s="38" t="n">
        <f aca="false">(10000*E7)+(10000*E15)</f>
        <v>0</v>
      </c>
      <c r="E27" s="39" t="s">
        <v>63</v>
      </c>
      <c r="F27" s="39"/>
    </row>
    <row r="28" customFormat="false" ht="24" hidden="false" customHeight="true" outlineLevel="0" collapsed="false">
      <c r="A28" s="37" t="s">
        <v>64</v>
      </c>
      <c r="B28" s="37"/>
      <c r="C28" s="37"/>
      <c r="D28" s="38" t="n">
        <f aca="false">((10000*E7)+(10000*E15))*4</f>
        <v>0</v>
      </c>
      <c r="E28" s="39" t="s">
        <v>65</v>
      </c>
      <c r="F28" s="39"/>
    </row>
    <row r="31" customFormat="false" ht="19.5" hidden="false" customHeight="true" outlineLevel="0" collapsed="false">
      <c r="A31" s="14" t="s">
        <v>66</v>
      </c>
      <c r="B31" s="14"/>
      <c r="C31" s="14"/>
      <c r="D31" s="14"/>
      <c r="E31" s="14"/>
      <c r="F31" s="14"/>
    </row>
  </sheetData>
  <mergeCells count="21">
    <mergeCell ref="A3:H3"/>
    <mergeCell ref="A5:F5"/>
    <mergeCell ref="A11:F11"/>
    <mergeCell ref="A13:F13"/>
    <mergeCell ref="A19:F19"/>
    <mergeCell ref="A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31:F3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4"/>
    <col collapsed="false" customWidth="true" hidden="false" outlineLevel="0" max="3" min="2" style="1" width="12"/>
    <col collapsed="false" customWidth="true" hidden="false" outlineLevel="0" max="6" min="4" style="1" width="14"/>
    <col collapsed="false" customWidth="true" hidden="false" outlineLevel="0" max="7" min="7" style="1" width="18"/>
    <col collapsed="false" customWidth="true" hidden="false" outlineLevel="0" max="8" min="8" style="1" width="20"/>
  </cols>
  <sheetData>
    <row r="1" customFormat="false" ht="7.5" hidden="false" customHeight="true" outlineLevel="0" collapsed="false">
      <c r="A1" s="13"/>
    </row>
    <row r="2" customFormat="false" ht="36" hidden="false" customHeight="true" outlineLevel="0" collapsed="false">
      <c r="A2" s="13" t="s">
        <v>67</v>
      </c>
    </row>
    <row r="3" customFormat="false" ht="19.5" hidden="false" customHeight="true" outlineLevel="0" collapsed="false">
      <c r="A3" s="14" t="s">
        <v>68</v>
      </c>
      <c r="B3" s="14"/>
      <c r="C3" s="14"/>
      <c r="D3" s="14"/>
      <c r="E3" s="14"/>
      <c r="F3" s="14"/>
      <c r="G3" s="14"/>
      <c r="H3" s="14"/>
    </row>
    <row r="5" customFormat="false" ht="31.5" hidden="false" customHeight="true" outlineLevel="0" collapsed="false">
      <c r="A5" s="16" t="s">
        <v>69</v>
      </c>
      <c r="B5" s="16" t="s">
        <v>70</v>
      </c>
      <c r="C5" s="16" t="s">
        <v>39</v>
      </c>
      <c r="D5" s="16" t="s">
        <v>40</v>
      </c>
      <c r="E5" s="16" t="s">
        <v>71</v>
      </c>
      <c r="F5" s="16" t="s">
        <v>72</v>
      </c>
      <c r="G5" s="16" t="s">
        <v>73</v>
      </c>
      <c r="H5" s="16" t="s">
        <v>74</v>
      </c>
    </row>
    <row r="6" customFormat="false" ht="21.75" hidden="false" customHeight="true" outlineLevel="0" collapsed="false">
      <c r="A6" s="40" t="s">
        <v>75</v>
      </c>
      <c r="B6" s="41" t="s">
        <v>76</v>
      </c>
      <c r="C6" s="40" t="s">
        <v>77</v>
      </c>
      <c r="D6" s="42" t="n">
        <v>4402</v>
      </c>
      <c r="E6" s="43"/>
      <c r="F6" s="21" t="str">
        <f aca="false">IF(E6="","",D6*E6)</f>
        <v/>
      </c>
      <c r="G6" s="44" t="n">
        <f aca="false">SUMIF(B$6:B6,"MSTW",D$6:D6)</f>
        <v>4402</v>
      </c>
      <c r="H6" s="44" t="n">
        <f aca="false">SUMIF(B$6:B6,"YETH",D$6:D6)</f>
        <v>0</v>
      </c>
    </row>
    <row r="7" customFormat="false" ht="21.75" hidden="false" customHeight="true" outlineLevel="0" collapsed="false">
      <c r="A7" s="45"/>
      <c r="B7" s="46"/>
      <c r="C7" s="45"/>
      <c r="D7" s="47"/>
      <c r="E7" s="43"/>
      <c r="F7" s="48" t="str">
        <f aca="false">IF(E7="","",D7*E7)</f>
        <v/>
      </c>
      <c r="G7" s="44" t="n">
        <f aca="false">SUMIF(B$6:B7,"MSTW",D$6:D7)</f>
        <v>4402</v>
      </c>
      <c r="H7" s="44" t="n">
        <f aca="false">SUMIF(B$6:B7,"YETH",D$6:D7)</f>
        <v>0</v>
      </c>
    </row>
    <row r="8" customFormat="false" ht="21.75" hidden="false" customHeight="true" outlineLevel="0" collapsed="false">
      <c r="A8" s="40"/>
      <c r="B8" s="41"/>
      <c r="C8" s="40"/>
      <c r="D8" s="42"/>
      <c r="E8" s="43"/>
      <c r="F8" s="21" t="str">
        <f aca="false">IF(E8="","",D8*E8)</f>
        <v/>
      </c>
      <c r="G8" s="44" t="n">
        <f aca="false">SUMIF(B$6:B8,"MSTW",D$6:D8)</f>
        <v>4402</v>
      </c>
      <c r="H8" s="44" t="n">
        <f aca="false">SUMIF(B$6:B8,"YETH",D$6:D8)</f>
        <v>0</v>
      </c>
    </row>
    <row r="9" customFormat="false" ht="21.75" hidden="false" customHeight="true" outlineLevel="0" collapsed="false">
      <c r="A9" s="45"/>
      <c r="B9" s="46"/>
      <c r="C9" s="45"/>
      <c r="D9" s="47"/>
      <c r="E9" s="43"/>
      <c r="F9" s="48" t="str">
        <f aca="false">IF(E9="","",D9*E9)</f>
        <v/>
      </c>
      <c r="G9" s="44" t="n">
        <f aca="false">SUMIF(B$6:B9,"MSTW",D$6:D9)</f>
        <v>4402</v>
      </c>
      <c r="H9" s="44" t="n">
        <f aca="false">SUMIF(B$6:B9,"YETH",D$6:D9)</f>
        <v>0</v>
      </c>
    </row>
    <row r="10" customFormat="false" ht="19.5" hidden="false" customHeight="true" outlineLevel="0" collapsed="false">
      <c r="A10" s="18"/>
      <c r="B10" s="40"/>
      <c r="C10" s="40"/>
      <c r="D10" s="42"/>
      <c r="E10" s="43"/>
      <c r="F10" s="49" t="str">
        <f aca="false">IF(E10="","",D10*E10)</f>
        <v/>
      </c>
      <c r="G10" s="44" t="str">
        <f aca="false">IF(D10="","",SUMIF(B$6:B10,"MSTW",D$6:D10))</f>
        <v/>
      </c>
      <c r="H10" s="44" t="str">
        <f aca="false">IF(D10="","",SUMIF(B$6:B10,"YETH",D$6:D10))</f>
        <v/>
      </c>
    </row>
    <row r="11" customFormat="false" ht="19.5" hidden="false" customHeight="true" outlineLevel="0" collapsed="false">
      <c r="A11" s="50"/>
      <c r="B11" s="45"/>
      <c r="C11" s="45"/>
      <c r="D11" s="47"/>
      <c r="E11" s="43"/>
      <c r="F11" s="20" t="str">
        <f aca="false">IF(E11="","",D11*E11)</f>
        <v/>
      </c>
      <c r="G11" s="44" t="str">
        <f aca="false">IF(D11="","",SUMIF(B$6:B11,"MSTW",D$6:D11))</f>
        <v/>
      </c>
      <c r="H11" s="44" t="str">
        <f aca="false">IF(D11="","",SUMIF(B$6:B11,"YETH",D$6:D11))</f>
        <v/>
      </c>
    </row>
    <row r="12" customFormat="false" ht="19.5" hidden="false" customHeight="true" outlineLevel="0" collapsed="false">
      <c r="A12" s="18"/>
      <c r="B12" s="40"/>
      <c r="C12" s="40"/>
      <c r="D12" s="42"/>
      <c r="E12" s="43"/>
      <c r="F12" s="49" t="str">
        <f aca="false">IF(E12="","",D12*E12)</f>
        <v/>
      </c>
      <c r="G12" s="44" t="str">
        <f aca="false">IF(D12="","",SUMIF(B$6:B12,"MSTW",D$6:D12))</f>
        <v/>
      </c>
      <c r="H12" s="44" t="str">
        <f aca="false">IF(D12="","",SUMIF(B$6:B12,"YETH",D$6:D12))</f>
        <v/>
      </c>
    </row>
    <row r="13" customFormat="false" ht="19.5" hidden="false" customHeight="true" outlineLevel="0" collapsed="false">
      <c r="A13" s="50"/>
      <c r="B13" s="45"/>
      <c r="C13" s="45"/>
      <c r="D13" s="47"/>
      <c r="E13" s="43"/>
      <c r="F13" s="20" t="str">
        <f aca="false">IF(E13="","",D13*E13)</f>
        <v/>
      </c>
      <c r="G13" s="44" t="str">
        <f aca="false">IF(D13="","",SUMIF(B$6:B13,"MSTW",D$6:D13))</f>
        <v/>
      </c>
      <c r="H13" s="44" t="str">
        <f aca="false">IF(D13="","",SUMIF(B$6:B13,"YETH",D$6:D13))</f>
        <v/>
      </c>
    </row>
    <row r="14" customFormat="false" ht="19.5" hidden="false" customHeight="true" outlineLevel="0" collapsed="false">
      <c r="A14" s="18"/>
      <c r="B14" s="40"/>
      <c r="C14" s="40"/>
      <c r="D14" s="42"/>
      <c r="E14" s="43"/>
      <c r="F14" s="49" t="str">
        <f aca="false">IF(E14="","",D14*E14)</f>
        <v/>
      </c>
      <c r="G14" s="44" t="str">
        <f aca="false">IF(D14="","",SUMIF(B$6:B14,"MSTW",D$6:D14))</f>
        <v/>
      </c>
      <c r="H14" s="44" t="str">
        <f aca="false">IF(D14="","",SUMIF(B$6:B14,"YETH",D$6:D14))</f>
        <v/>
      </c>
    </row>
    <row r="15" customFormat="false" ht="19.5" hidden="false" customHeight="true" outlineLevel="0" collapsed="false">
      <c r="A15" s="50"/>
      <c r="B15" s="45"/>
      <c r="C15" s="45"/>
      <c r="D15" s="47"/>
      <c r="E15" s="43"/>
      <c r="F15" s="20" t="str">
        <f aca="false">IF(E15="","",D15*E15)</f>
        <v/>
      </c>
      <c r="G15" s="44" t="str">
        <f aca="false">IF(D15="","",SUMIF(B$6:B15,"MSTW",D$6:D15))</f>
        <v/>
      </c>
      <c r="H15" s="44" t="str">
        <f aca="false">IF(D15="","",SUMIF(B$6:B15,"YETH",D$6:D15))</f>
        <v/>
      </c>
    </row>
    <row r="16" customFormat="false" ht="19.5" hidden="false" customHeight="true" outlineLevel="0" collapsed="false">
      <c r="A16" s="18"/>
      <c r="B16" s="40"/>
      <c r="C16" s="40"/>
      <c r="D16" s="42"/>
      <c r="E16" s="43"/>
      <c r="F16" s="49" t="str">
        <f aca="false">IF(E16="","",D16*E16)</f>
        <v/>
      </c>
      <c r="G16" s="44" t="str">
        <f aca="false">IF(D16="","",SUMIF(B$6:B16,"MSTW",D$6:D16))</f>
        <v/>
      </c>
      <c r="H16" s="44" t="str">
        <f aca="false">IF(D16="","",SUMIF(B$6:B16,"YETH",D$6:D16))</f>
        <v/>
      </c>
    </row>
    <row r="17" customFormat="false" ht="19.5" hidden="false" customHeight="true" outlineLevel="0" collapsed="false">
      <c r="A17" s="50"/>
      <c r="B17" s="45"/>
      <c r="C17" s="45"/>
      <c r="D17" s="47"/>
      <c r="E17" s="43"/>
      <c r="F17" s="20" t="str">
        <f aca="false">IF(E17="","",D17*E17)</f>
        <v/>
      </c>
      <c r="G17" s="44" t="str">
        <f aca="false">IF(D17="","",SUMIF(B$6:B17,"MSTW",D$6:D17))</f>
        <v/>
      </c>
      <c r="H17" s="44" t="str">
        <f aca="false">IF(D17="","",SUMIF(B$6:B17,"YETH",D$6:D17))</f>
        <v/>
      </c>
    </row>
    <row r="18" customFormat="false" ht="19.5" hidden="false" customHeight="true" outlineLevel="0" collapsed="false">
      <c r="A18" s="18"/>
      <c r="B18" s="40"/>
      <c r="C18" s="40"/>
      <c r="D18" s="42"/>
      <c r="E18" s="43"/>
      <c r="F18" s="49" t="str">
        <f aca="false">IF(E18="","",D18*E18)</f>
        <v/>
      </c>
      <c r="G18" s="44" t="str">
        <f aca="false">IF(D18="","",SUMIF(B$6:B18,"MSTW",D$6:D18))</f>
        <v/>
      </c>
      <c r="H18" s="44" t="str">
        <f aca="false">IF(D18="","",SUMIF(B$6:B18,"YETH",D$6:D18))</f>
        <v/>
      </c>
    </row>
    <row r="19" customFormat="false" ht="19.5" hidden="false" customHeight="true" outlineLevel="0" collapsed="false">
      <c r="A19" s="50"/>
      <c r="B19" s="45"/>
      <c r="C19" s="45"/>
      <c r="D19" s="47"/>
      <c r="E19" s="43"/>
      <c r="F19" s="20" t="str">
        <f aca="false">IF(E19="","",D19*E19)</f>
        <v/>
      </c>
      <c r="G19" s="44" t="str">
        <f aca="false">IF(D19="","",SUMIF(B$6:B19,"MSTW",D$6:D19))</f>
        <v/>
      </c>
      <c r="H19" s="44" t="str">
        <f aca="false">IF(D19="","",SUMIF(B$6:B19,"YETH",D$6:D19))</f>
        <v/>
      </c>
    </row>
    <row r="20" customFormat="false" ht="19.5" hidden="false" customHeight="true" outlineLevel="0" collapsed="false">
      <c r="A20" s="18"/>
      <c r="B20" s="40"/>
      <c r="C20" s="40"/>
      <c r="D20" s="42"/>
      <c r="E20" s="43"/>
      <c r="F20" s="49" t="str">
        <f aca="false">IF(E20="","",D20*E20)</f>
        <v/>
      </c>
      <c r="G20" s="44" t="str">
        <f aca="false">IF(D20="","",SUMIF(B$6:B20,"MSTW",D$6:D20))</f>
        <v/>
      </c>
      <c r="H20" s="44" t="str">
        <f aca="false">IF(D20="","",SUMIF(B$6:B20,"YETH",D$6:D20))</f>
        <v/>
      </c>
    </row>
    <row r="21" customFormat="false" ht="19.5" hidden="false" customHeight="true" outlineLevel="0" collapsed="false">
      <c r="A21" s="50"/>
      <c r="B21" s="45"/>
      <c r="C21" s="45"/>
      <c r="D21" s="47"/>
      <c r="E21" s="43"/>
      <c r="F21" s="20" t="str">
        <f aca="false">IF(E21="","",D21*E21)</f>
        <v/>
      </c>
      <c r="G21" s="44" t="str">
        <f aca="false">IF(D21="","",SUMIF(B$6:B21,"MSTW",D$6:D21))</f>
        <v/>
      </c>
      <c r="H21" s="44" t="str">
        <f aca="false">IF(D21="","",SUMIF(B$6:B21,"YETH",D$6:D21))</f>
        <v/>
      </c>
    </row>
    <row r="22" customFormat="false" ht="19.5" hidden="false" customHeight="true" outlineLevel="0" collapsed="false">
      <c r="A22" s="18"/>
      <c r="B22" s="40"/>
      <c r="C22" s="40"/>
      <c r="D22" s="42"/>
      <c r="E22" s="43"/>
      <c r="F22" s="49" t="str">
        <f aca="false">IF(E22="","",D22*E22)</f>
        <v/>
      </c>
      <c r="G22" s="44" t="str">
        <f aca="false">IF(D22="","",SUMIF(B$6:B22,"MSTW",D$6:D22))</f>
        <v/>
      </c>
      <c r="H22" s="44" t="str">
        <f aca="false">IF(D22="","",SUMIF(B$6:B22,"YETH",D$6:D22))</f>
        <v/>
      </c>
    </row>
    <row r="23" customFormat="false" ht="19.5" hidden="false" customHeight="true" outlineLevel="0" collapsed="false">
      <c r="A23" s="50"/>
      <c r="B23" s="45"/>
      <c r="C23" s="45"/>
      <c r="D23" s="47"/>
      <c r="E23" s="43"/>
      <c r="F23" s="20" t="str">
        <f aca="false">IF(E23="","",D23*E23)</f>
        <v/>
      </c>
      <c r="G23" s="44" t="str">
        <f aca="false">IF(D23="","",SUMIF(B$6:B23,"MSTW",D$6:D23))</f>
        <v/>
      </c>
      <c r="H23" s="44" t="str">
        <f aca="false">IF(D23="","",SUMIF(B$6:B23,"YETH",D$6:D23))</f>
        <v/>
      </c>
    </row>
    <row r="24" customFormat="false" ht="19.5" hidden="false" customHeight="true" outlineLevel="0" collapsed="false">
      <c r="A24" s="18"/>
      <c r="B24" s="40"/>
      <c r="C24" s="40"/>
      <c r="D24" s="42"/>
      <c r="E24" s="43"/>
      <c r="F24" s="49" t="str">
        <f aca="false">IF(E24="","",D24*E24)</f>
        <v/>
      </c>
      <c r="G24" s="44" t="str">
        <f aca="false">IF(D24="","",SUMIF(B$6:B24,"MSTW",D$6:D24))</f>
        <v/>
      </c>
      <c r="H24" s="44" t="str">
        <f aca="false">IF(D24="","",SUMIF(B$6:B24,"YETH",D$6:D24))</f>
        <v/>
      </c>
    </row>
    <row r="25" customFormat="false" ht="19.5" hidden="false" customHeight="true" outlineLevel="0" collapsed="false">
      <c r="A25" s="50"/>
      <c r="B25" s="45"/>
      <c r="C25" s="45"/>
      <c r="D25" s="47"/>
      <c r="E25" s="43"/>
      <c r="F25" s="20" t="str">
        <f aca="false">IF(E25="","",D25*E25)</f>
        <v/>
      </c>
      <c r="G25" s="44" t="str">
        <f aca="false">IF(D25="","",SUMIF(B$6:B25,"MSTW",D$6:D25))</f>
        <v/>
      </c>
      <c r="H25" s="44" t="str">
        <f aca="false">IF(D25="","",SUMIF(B$6:B25,"YETH",D$6:D25))</f>
        <v/>
      </c>
    </row>
    <row r="26" customFormat="false" ht="19.5" hidden="false" customHeight="true" outlineLevel="0" collapsed="false">
      <c r="A26" s="18"/>
      <c r="B26" s="40"/>
      <c r="C26" s="40"/>
      <c r="D26" s="42"/>
      <c r="E26" s="43"/>
      <c r="F26" s="49" t="str">
        <f aca="false">IF(E26="","",D26*E26)</f>
        <v/>
      </c>
      <c r="G26" s="44" t="str">
        <f aca="false">IF(D26="","",SUMIF(B$6:B26,"MSTW",D$6:D26))</f>
        <v/>
      </c>
      <c r="H26" s="44" t="str">
        <f aca="false">IF(D26="","",SUMIF(B$6:B26,"YETH",D$6:D26))</f>
        <v/>
      </c>
    </row>
    <row r="27" customFormat="false" ht="19.5" hidden="false" customHeight="true" outlineLevel="0" collapsed="false">
      <c r="A27" s="50"/>
      <c r="B27" s="45"/>
      <c r="C27" s="45"/>
      <c r="D27" s="47"/>
      <c r="E27" s="43"/>
      <c r="F27" s="20" t="str">
        <f aca="false">IF(E27="","",D27*E27)</f>
        <v/>
      </c>
      <c r="G27" s="44" t="str">
        <f aca="false">IF(D27="","",SUMIF(B$6:B27,"MSTW",D$6:D27))</f>
        <v/>
      </c>
      <c r="H27" s="44" t="str">
        <f aca="false">IF(D27="","",SUMIF(B$6:B27,"YETH",D$6:D27))</f>
        <v/>
      </c>
    </row>
    <row r="28" customFormat="false" ht="19.5" hidden="false" customHeight="true" outlineLevel="0" collapsed="false">
      <c r="A28" s="18"/>
      <c r="B28" s="40"/>
      <c r="C28" s="40"/>
      <c r="D28" s="42"/>
      <c r="E28" s="43"/>
      <c r="F28" s="49" t="str">
        <f aca="false">IF(E28="","",D28*E28)</f>
        <v/>
      </c>
      <c r="G28" s="44" t="str">
        <f aca="false">IF(D28="","",SUMIF(B$6:B28,"MSTW",D$6:D28))</f>
        <v/>
      </c>
      <c r="H28" s="44" t="str">
        <f aca="false">IF(D28="","",SUMIF(B$6:B28,"YETH",D$6:D28))</f>
        <v/>
      </c>
    </row>
    <row r="29" customFormat="false" ht="19.5" hidden="false" customHeight="true" outlineLevel="0" collapsed="false">
      <c r="A29" s="50"/>
      <c r="B29" s="45"/>
      <c r="C29" s="45"/>
      <c r="D29" s="47"/>
      <c r="E29" s="43"/>
      <c r="F29" s="20" t="str">
        <f aca="false">IF(E29="","",D29*E29)</f>
        <v/>
      </c>
      <c r="G29" s="44" t="str">
        <f aca="false">IF(D29="","",SUMIF(B$6:B29,"MSTW",D$6:D29))</f>
        <v/>
      </c>
      <c r="H29" s="44" t="str">
        <f aca="false">IF(D29="","",SUMIF(B$6:B29,"YETH",D$6:D29))</f>
        <v/>
      </c>
    </row>
    <row r="30" customFormat="false" ht="19.5" hidden="false" customHeight="true" outlineLevel="0" collapsed="false">
      <c r="A30" s="18"/>
      <c r="B30" s="40"/>
      <c r="C30" s="40"/>
      <c r="D30" s="42"/>
      <c r="E30" s="43"/>
      <c r="F30" s="49" t="str">
        <f aca="false">IF(E30="","",D30*E30)</f>
        <v/>
      </c>
      <c r="G30" s="44" t="str">
        <f aca="false">IF(D30="","",SUMIF(B$6:B30,"MSTW",D$6:D30))</f>
        <v/>
      </c>
      <c r="H30" s="44" t="str">
        <f aca="false">IF(D30="","",SUMIF(B$6:B30,"YETH",D$6:D30))</f>
        <v/>
      </c>
    </row>
    <row r="31" customFormat="false" ht="19.5" hidden="false" customHeight="true" outlineLevel="0" collapsed="false">
      <c r="A31" s="50"/>
      <c r="B31" s="45"/>
      <c r="C31" s="45"/>
      <c r="D31" s="47"/>
      <c r="E31" s="43"/>
      <c r="F31" s="20" t="str">
        <f aca="false">IF(E31="","",D31*E31)</f>
        <v/>
      </c>
      <c r="G31" s="44" t="str">
        <f aca="false">IF(D31="","",SUMIF(B$6:B31,"MSTW",D$6:D31))</f>
        <v/>
      </c>
      <c r="H31" s="44" t="str">
        <f aca="false">IF(D31="","",SUMIF(B$6:B31,"YETH",D$6:D31))</f>
        <v/>
      </c>
    </row>
    <row r="32" customFormat="false" ht="19.5" hidden="false" customHeight="true" outlineLevel="0" collapsed="false">
      <c r="A32" s="18"/>
      <c r="B32" s="40"/>
      <c r="C32" s="40"/>
      <c r="D32" s="42"/>
      <c r="E32" s="43"/>
      <c r="F32" s="49" t="str">
        <f aca="false">IF(E32="","",D32*E32)</f>
        <v/>
      </c>
      <c r="G32" s="44" t="str">
        <f aca="false">IF(D32="","",SUMIF(B$6:B32,"MSTW",D$6:D32))</f>
        <v/>
      </c>
      <c r="H32" s="44" t="str">
        <f aca="false">IF(D32="","",SUMIF(B$6:B32,"YETH",D$6:D32))</f>
        <v/>
      </c>
    </row>
    <row r="33" customFormat="false" ht="19.5" hidden="false" customHeight="true" outlineLevel="0" collapsed="false">
      <c r="A33" s="50"/>
      <c r="B33" s="45"/>
      <c r="C33" s="45"/>
      <c r="D33" s="47"/>
      <c r="E33" s="43"/>
      <c r="F33" s="20" t="str">
        <f aca="false">IF(E33="","",D33*E33)</f>
        <v/>
      </c>
      <c r="G33" s="44" t="str">
        <f aca="false">IF(D33="","",SUMIF(B$6:B33,"MSTW",D$6:D33))</f>
        <v/>
      </c>
      <c r="H33" s="44" t="str">
        <f aca="false">IF(D33="","",SUMIF(B$6:B33,"YETH",D$6:D33))</f>
        <v/>
      </c>
    </row>
    <row r="34" customFormat="false" ht="19.5" hidden="false" customHeight="true" outlineLevel="0" collapsed="false">
      <c r="A34" s="18"/>
      <c r="B34" s="40"/>
      <c r="C34" s="40"/>
      <c r="D34" s="42"/>
      <c r="E34" s="43"/>
      <c r="F34" s="49" t="str">
        <f aca="false">IF(E34="","",D34*E34)</f>
        <v/>
      </c>
      <c r="G34" s="44" t="str">
        <f aca="false">IF(D34="","",SUMIF(B$6:B34,"MSTW",D$6:D34))</f>
        <v/>
      </c>
      <c r="H34" s="44" t="str">
        <f aca="false">IF(D34="","",SUMIF(B$6:B34,"YETH",D$6:D34))</f>
        <v/>
      </c>
    </row>
    <row r="35" customFormat="false" ht="19.5" hidden="false" customHeight="true" outlineLevel="0" collapsed="false">
      <c r="A35" s="50"/>
      <c r="B35" s="45"/>
      <c r="C35" s="45"/>
      <c r="D35" s="47"/>
      <c r="E35" s="43"/>
      <c r="F35" s="20" t="str">
        <f aca="false">IF(E35="","",D35*E35)</f>
        <v/>
      </c>
      <c r="G35" s="44" t="str">
        <f aca="false">IF(D35="","",SUMIF(B$6:B35,"MSTW",D$6:D35))</f>
        <v/>
      </c>
      <c r="H35" s="44" t="str">
        <f aca="false">IF(D35="","",SUMIF(B$6:B35,"YETH",D$6:D35))</f>
        <v/>
      </c>
    </row>
    <row r="36" customFormat="false" ht="19.5" hidden="false" customHeight="true" outlineLevel="0" collapsed="false">
      <c r="A36" s="18"/>
      <c r="B36" s="40"/>
      <c r="C36" s="40"/>
      <c r="D36" s="42"/>
      <c r="E36" s="43"/>
      <c r="F36" s="49" t="str">
        <f aca="false">IF(E36="","",D36*E36)</f>
        <v/>
      </c>
      <c r="G36" s="44" t="str">
        <f aca="false">IF(D36="","",SUMIF(B$6:B36,"MSTW",D$6:D36))</f>
        <v/>
      </c>
      <c r="H36" s="44" t="str">
        <f aca="false">IF(D36="","",SUMIF(B$6:B36,"YETH",D$6:D36))</f>
        <v/>
      </c>
    </row>
    <row r="37" customFormat="false" ht="19.5" hidden="false" customHeight="true" outlineLevel="0" collapsed="false">
      <c r="A37" s="50"/>
      <c r="B37" s="45"/>
      <c r="C37" s="45"/>
      <c r="D37" s="47"/>
      <c r="E37" s="43"/>
      <c r="F37" s="20" t="str">
        <f aca="false">IF(E37="","",D37*E37)</f>
        <v/>
      </c>
      <c r="G37" s="44" t="str">
        <f aca="false">IF(D37="","",SUMIF(B$6:B37,"MSTW",D$6:D37))</f>
        <v/>
      </c>
      <c r="H37" s="44" t="str">
        <f aca="false">IF(D37="","",SUMIF(B$6:B37,"YETH",D$6:D37))</f>
        <v/>
      </c>
    </row>
    <row r="38" customFormat="false" ht="19.5" hidden="false" customHeight="true" outlineLevel="0" collapsed="false">
      <c r="A38" s="18"/>
      <c r="B38" s="40"/>
      <c r="C38" s="40"/>
      <c r="D38" s="42"/>
      <c r="E38" s="43"/>
      <c r="F38" s="49" t="str">
        <f aca="false">IF(E38="","",D38*E38)</f>
        <v/>
      </c>
      <c r="G38" s="44" t="str">
        <f aca="false">IF(D38="","",SUMIF(B$6:B38,"MSTW",D$6:D38))</f>
        <v/>
      </c>
      <c r="H38" s="44" t="str">
        <f aca="false">IF(D38="","",SUMIF(B$6:B38,"YETH",D$6:D38))</f>
        <v/>
      </c>
    </row>
    <row r="39" customFormat="false" ht="19.5" hidden="false" customHeight="true" outlineLevel="0" collapsed="false">
      <c r="A39" s="50"/>
      <c r="B39" s="45"/>
      <c r="C39" s="45"/>
      <c r="D39" s="47"/>
      <c r="E39" s="43"/>
      <c r="F39" s="20" t="str">
        <f aca="false">IF(E39="","",D39*E39)</f>
        <v/>
      </c>
      <c r="G39" s="44" t="str">
        <f aca="false">IF(D39="","",SUMIF(B$6:B39,"MSTW",D$6:D39))</f>
        <v/>
      </c>
      <c r="H39" s="44" t="str">
        <f aca="false">IF(D39="","",SUMIF(B$6:B39,"YETH",D$6:D39))</f>
        <v/>
      </c>
    </row>
    <row r="40" customFormat="false" ht="19.5" hidden="false" customHeight="true" outlineLevel="0" collapsed="false">
      <c r="A40" s="18"/>
      <c r="B40" s="40"/>
      <c r="C40" s="40"/>
      <c r="D40" s="42"/>
      <c r="E40" s="43"/>
      <c r="F40" s="49" t="str">
        <f aca="false">IF(E40="","",D40*E40)</f>
        <v/>
      </c>
      <c r="G40" s="44" t="str">
        <f aca="false">IF(D40="","",SUMIF(B$6:B40,"MSTW",D$6:D40))</f>
        <v/>
      </c>
      <c r="H40" s="44" t="str">
        <f aca="false">IF(D40="","",SUMIF(B$6:B40,"YETH",D$6:D40))</f>
        <v/>
      </c>
    </row>
    <row r="41" customFormat="false" ht="19.5" hidden="false" customHeight="true" outlineLevel="0" collapsed="false">
      <c r="A41" s="50"/>
      <c r="B41" s="45"/>
      <c r="C41" s="45"/>
      <c r="D41" s="47"/>
      <c r="E41" s="43"/>
      <c r="F41" s="20" t="str">
        <f aca="false">IF(E41="","",D41*E41)</f>
        <v/>
      </c>
      <c r="G41" s="44" t="str">
        <f aca="false">IF(D41="","",SUMIF(B$6:B41,"MSTW",D$6:D41))</f>
        <v/>
      </c>
      <c r="H41" s="44" t="str">
        <f aca="false">IF(D41="","",SUMIF(B$6:B41,"YETH",D$6:D41))</f>
        <v/>
      </c>
    </row>
    <row r="42" customFormat="false" ht="19.5" hidden="false" customHeight="true" outlineLevel="0" collapsed="false">
      <c r="A42" s="18"/>
      <c r="B42" s="40"/>
      <c r="C42" s="40"/>
      <c r="D42" s="42"/>
      <c r="E42" s="43"/>
      <c r="F42" s="49" t="str">
        <f aca="false">IF(E42="","",D42*E42)</f>
        <v/>
      </c>
      <c r="G42" s="44" t="str">
        <f aca="false">IF(D42="","",SUMIF(B$6:B42,"MSTW",D$6:D42))</f>
        <v/>
      </c>
      <c r="H42" s="44" t="str">
        <f aca="false">IF(D42="","",SUMIF(B$6:B42,"YETH",D$6:D42))</f>
        <v/>
      </c>
    </row>
    <row r="43" customFormat="false" ht="19.5" hidden="false" customHeight="true" outlineLevel="0" collapsed="false">
      <c r="A43" s="50"/>
      <c r="B43" s="45"/>
      <c r="C43" s="45"/>
      <c r="D43" s="47"/>
      <c r="E43" s="43"/>
      <c r="F43" s="20" t="str">
        <f aca="false">IF(E43="","",D43*E43)</f>
        <v/>
      </c>
      <c r="G43" s="44" t="str">
        <f aca="false">IF(D43="","",SUMIF(B$6:B43,"MSTW",D$6:D43))</f>
        <v/>
      </c>
      <c r="H43" s="44" t="str">
        <f aca="false">IF(D43="","",SUMIF(B$6:B43,"YETH",D$6:D43))</f>
        <v/>
      </c>
    </row>
    <row r="44" customFormat="false" ht="19.5" hidden="false" customHeight="true" outlineLevel="0" collapsed="false">
      <c r="A44" s="18"/>
      <c r="B44" s="40"/>
      <c r="C44" s="40"/>
      <c r="D44" s="42"/>
      <c r="E44" s="43"/>
      <c r="F44" s="49" t="str">
        <f aca="false">IF(E44="","",D44*E44)</f>
        <v/>
      </c>
      <c r="G44" s="44" t="str">
        <f aca="false">IF(D44="","",SUMIF(B$6:B44,"MSTW",D$6:D44))</f>
        <v/>
      </c>
      <c r="H44" s="44" t="str">
        <f aca="false">IF(D44="","",SUMIF(B$6:B44,"YETH",D$6:D44))</f>
        <v/>
      </c>
    </row>
    <row r="45" customFormat="false" ht="19.5" hidden="false" customHeight="true" outlineLevel="0" collapsed="false">
      <c r="A45" s="50"/>
      <c r="B45" s="45"/>
      <c r="C45" s="45"/>
      <c r="D45" s="47"/>
      <c r="E45" s="43"/>
      <c r="F45" s="20" t="str">
        <f aca="false">IF(E45="","",D45*E45)</f>
        <v/>
      </c>
      <c r="G45" s="44" t="str">
        <f aca="false">IF(D45="","",SUMIF(B$6:B45,"MSTW",D$6:D45))</f>
        <v/>
      </c>
      <c r="H45" s="44" t="str">
        <f aca="false">IF(D45="","",SUMIF(B$6:B45,"YETH",D$6:D45))</f>
        <v/>
      </c>
    </row>
    <row r="46" customFormat="false" ht="19.5" hidden="false" customHeight="true" outlineLevel="0" collapsed="false">
      <c r="A46" s="18"/>
      <c r="B46" s="40"/>
      <c r="C46" s="40"/>
      <c r="D46" s="42"/>
      <c r="E46" s="43"/>
      <c r="F46" s="49" t="str">
        <f aca="false">IF(E46="","",D46*E46)</f>
        <v/>
      </c>
      <c r="G46" s="44" t="str">
        <f aca="false">IF(D46="","",SUMIF(B$6:B46,"MSTW",D$6:D46))</f>
        <v/>
      </c>
      <c r="H46" s="44" t="str">
        <f aca="false">IF(D46="","",SUMIF(B$6:B46,"YETH",D$6:D46))</f>
        <v/>
      </c>
    </row>
    <row r="47" customFormat="false" ht="19.5" hidden="false" customHeight="true" outlineLevel="0" collapsed="false">
      <c r="A47" s="50"/>
      <c r="B47" s="45"/>
      <c r="C47" s="45"/>
      <c r="D47" s="47"/>
      <c r="E47" s="43"/>
      <c r="F47" s="20" t="str">
        <f aca="false">IF(E47="","",D47*E47)</f>
        <v/>
      </c>
      <c r="G47" s="44" t="str">
        <f aca="false">IF(D47="","",SUMIF(B$6:B47,"MSTW",D$6:D47))</f>
        <v/>
      </c>
      <c r="H47" s="44" t="str">
        <f aca="false">IF(D47="","",SUMIF(B$6:B47,"YETH",D$6:D47))</f>
        <v/>
      </c>
    </row>
    <row r="48" customFormat="false" ht="19.5" hidden="false" customHeight="true" outlineLevel="0" collapsed="false">
      <c r="A48" s="18"/>
      <c r="B48" s="40"/>
      <c r="C48" s="40"/>
      <c r="D48" s="42"/>
      <c r="E48" s="43"/>
      <c r="F48" s="49" t="str">
        <f aca="false">IF(E48="","",D48*E48)</f>
        <v/>
      </c>
      <c r="G48" s="44" t="str">
        <f aca="false">IF(D48="","",SUMIF(B$6:B48,"MSTW",D$6:D48))</f>
        <v/>
      </c>
      <c r="H48" s="44" t="str">
        <f aca="false">IF(D48="","",SUMIF(B$6:B48,"YETH",D$6:D48))</f>
        <v/>
      </c>
    </row>
    <row r="49" customFormat="false" ht="19.5" hidden="false" customHeight="true" outlineLevel="0" collapsed="false">
      <c r="A49" s="50"/>
      <c r="B49" s="45"/>
      <c r="C49" s="45"/>
      <c r="D49" s="47"/>
      <c r="E49" s="43"/>
      <c r="F49" s="20" t="str">
        <f aca="false">IF(E49="","",D49*E49)</f>
        <v/>
      </c>
      <c r="G49" s="44" t="str">
        <f aca="false">IF(D49="","",SUMIF(B$6:B49,"MSTW",D$6:D49))</f>
        <v/>
      </c>
      <c r="H49" s="44" t="str">
        <f aca="false">IF(D49="","",SUMIF(B$6:B49,"YETH",D$6:D49))</f>
        <v/>
      </c>
    </row>
    <row r="50" customFormat="false" ht="19.5" hidden="false" customHeight="true" outlineLevel="0" collapsed="false">
      <c r="A50" s="18"/>
      <c r="B50" s="40"/>
      <c r="C50" s="40"/>
      <c r="D50" s="42"/>
      <c r="E50" s="43"/>
      <c r="F50" s="49" t="str">
        <f aca="false">IF(E50="","",D50*E50)</f>
        <v/>
      </c>
      <c r="G50" s="44" t="str">
        <f aca="false">IF(D50="","",SUMIF(B$6:B50,"MSTW",D$6:D50))</f>
        <v/>
      </c>
      <c r="H50" s="44" t="str">
        <f aca="false">IF(D50="","",SUMIF(B$6:B50,"YETH",D$6:D50))</f>
        <v/>
      </c>
    </row>
    <row r="51" customFormat="false" ht="19.5" hidden="false" customHeight="true" outlineLevel="0" collapsed="false">
      <c r="A51" s="50"/>
      <c r="B51" s="45"/>
      <c r="C51" s="45"/>
      <c r="D51" s="47"/>
      <c r="E51" s="43"/>
      <c r="F51" s="20" t="str">
        <f aca="false">IF(E51="","",D51*E51)</f>
        <v/>
      </c>
      <c r="G51" s="44" t="str">
        <f aca="false">IF(D51="","",SUMIF(B$6:B51,"MSTW",D$6:D51))</f>
        <v/>
      </c>
      <c r="H51" s="44" t="str">
        <f aca="false">IF(D51="","",SUMIF(B$6:B51,"YETH",D$6:D51))</f>
        <v/>
      </c>
    </row>
    <row r="52" customFormat="false" ht="19.5" hidden="false" customHeight="true" outlineLevel="0" collapsed="false">
      <c r="A52" s="18"/>
      <c r="B52" s="40"/>
      <c r="C52" s="40"/>
      <c r="D52" s="42"/>
      <c r="E52" s="43"/>
      <c r="F52" s="49" t="str">
        <f aca="false">IF(E52="","",D52*E52)</f>
        <v/>
      </c>
      <c r="G52" s="44" t="str">
        <f aca="false">IF(D52="","",SUMIF(B$6:B52,"MSTW",D$6:D52))</f>
        <v/>
      </c>
      <c r="H52" s="44" t="str">
        <f aca="false">IF(D52="","",SUMIF(B$6:B52,"YETH",D$6:D52))</f>
        <v/>
      </c>
    </row>
    <row r="53" customFormat="false" ht="19.5" hidden="false" customHeight="true" outlineLevel="0" collapsed="false">
      <c r="A53" s="50"/>
      <c r="B53" s="45"/>
      <c r="C53" s="45"/>
      <c r="D53" s="47"/>
      <c r="E53" s="43"/>
      <c r="F53" s="20" t="str">
        <f aca="false">IF(E53="","",D53*E53)</f>
        <v/>
      </c>
      <c r="G53" s="44" t="str">
        <f aca="false">IF(D53="","",SUMIF(B$6:B53,"MSTW",D$6:D53))</f>
        <v/>
      </c>
      <c r="H53" s="44" t="str">
        <f aca="false">IF(D53="","",SUMIF(B$6:B53,"YETH",D$6:D53))</f>
        <v/>
      </c>
    </row>
    <row r="54" customFormat="false" ht="19.5" hidden="false" customHeight="true" outlineLevel="0" collapsed="false">
      <c r="A54" s="18"/>
      <c r="B54" s="40"/>
      <c r="C54" s="40"/>
      <c r="D54" s="42"/>
      <c r="E54" s="43"/>
      <c r="F54" s="49" t="str">
        <f aca="false">IF(E54="","",D54*E54)</f>
        <v/>
      </c>
      <c r="G54" s="44" t="str">
        <f aca="false">IF(D54="","",SUMIF(B$6:B54,"MSTW",D$6:D54))</f>
        <v/>
      </c>
      <c r="H54" s="44" t="str">
        <f aca="false">IF(D54="","",SUMIF(B$6:B54,"YETH",D$6:D54))</f>
        <v/>
      </c>
    </row>
    <row r="55" customFormat="false" ht="19.5" hidden="false" customHeight="true" outlineLevel="0" collapsed="false">
      <c r="A55" s="50"/>
      <c r="B55" s="45"/>
      <c r="C55" s="45"/>
      <c r="D55" s="47"/>
      <c r="E55" s="43"/>
      <c r="F55" s="20" t="str">
        <f aca="false">IF(E55="","",D55*E55)</f>
        <v/>
      </c>
      <c r="G55" s="44" t="str">
        <f aca="false">IF(D55="","",SUMIF(B$6:B55,"MSTW",D$6:D55))</f>
        <v/>
      </c>
      <c r="H55" s="44" t="str">
        <f aca="false">IF(D55="","",SUMIF(B$6:B55,"YETH",D$6:D55))</f>
        <v/>
      </c>
    </row>
    <row r="56" customFormat="false" ht="19.5" hidden="false" customHeight="true" outlineLevel="0" collapsed="false">
      <c r="A56" s="18"/>
      <c r="B56" s="40"/>
      <c r="C56" s="40"/>
      <c r="D56" s="42"/>
      <c r="E56" s="43"/>
      <c r="F56" s="49" t="str">
        <f aca="false">IF(E56="","",D56*E56)</f>
        <v/>
      </c>
      <c r="G56" s="44" t="str">
        <f aca="false">IF(D56="","",SUMIF(B$6:B56,"MSTW",D$6:D56))</f>
        <v/>
      </c>
      <c r="H56" s="44" t="str">
        <f aca="false">IF(D56="","",SUMIF(B$6:B56,"YETH",D$6:D56))</f>
        <v/>
      </c>
    </row>
    <row r="57" customFormat="false" ht="19.5" hidden="false" customHeight="true" outlineLevel="0" collapsed="false">
      <c r="A57" s="50"/>
      <c r="B57" s="45"/>
      <c r="C57" s="45"/>
      <c r="D57" s="47"/>
      <c r="E57" s="43"/>
      <c r="F57" s="20" t="str">
        <f aca="false">IF(E57="","",D57*E57)</f>
        <v/>
      </c>
      <c r="G57" s="44" t="str">
        <f aca="false">IF(D57="","",SUMIF(B$6:B57,"MSTW",D$6:D57))</f>
        <v/>
      </c>
      <c r="H57" s="44" t="str">
        <f aca="false">IF(D57="","",SUMIF(B$6:B57,"YETH",D$6:D57))</f>
        <v/>
      </c>
    </row>
    <row r="58" customFormat="false" ht="19.5" hidden="false" customHeight="true" outlineLevel="0" collapsed="false">
      <c r="A58" s="18"/>
      <c r="B58" s="40"/>
      <c r="C58" s="40"/>
      <c r="D58" s="42"/>
      <c r="E58" s="43"/>
      <c r="F58" s="49" t="str">
        <f aca="false">IF(E58="","",D58*E58)</f>
        <v/>
      </c>
      <c r="G58" s="44" t="str">
        <f aca="false">IF(D58="","",SUMIF(B$6:B58,"MSTW",D$6:D58))</f>
        <v/>
      </c>
      <c r="H58" s="44" t="str">
        <f aca="false">IF(D58="","",SUMIF(B$6:B58,"YETH",D$6:D58))</f>
        <v/>
      </c>
    </row>
    <row r="59" customFormat="false" ht="19.5" hidden="false" customHeight="true" outlineLevel="0" collapsed="false">
      <c r="A59" s="50"/>
      <c r="B59" s="45"/>
      <c r="C59" s="45"/>
      <c r="D59" s="47"/>
      <c r="E59" s="43"/>
      <c r="F59" s="20" t="str">
        <f aca="false">IF(E59="","",D59*E59)</f>
        <v/>
      </c>
      <c r="G59" s="44" t="str">
        <f aca="false">IF(D59="","",SUMIF(B$6:B59,"MSTW",D$6:D59))</f>
        <v/>
      </c>
      <c r="H59" s="44" t="str">
        <f aca="false">IF(D59="","",SUMIF(B$6:B59,"YETH",D$6:D59))</f>
        <v/>
      </c>
    </row>
    <row r="60" customFormat="false" ht="19.5" hidden="false" customHeight="true" outlineLevel="0" collapsed="false">
      <c r="A60" s="18"/>
      <c r="B60" s="40"/>
      <c r="C60" s="40"/>
      <c r="D60" s="42"/>
      <c r="E60" s="43"/>
      <c r="F60" s="49" t="str">
        <f aca="false">IF(E60="","",D60*E60)</f>
        <v/>
      </c>
      <c r="G60" s="44" t="str">
        <f aca="false">IF(D60="","",SUMIF(B$6:B60,"MSTW",D$6:D60))</f>
        <v/>
      </c>
      <c r="H60" s="44" t="str">
        <f aca="false">IF(D60="","",SUMIF(B$6:B60,"YETH",D$6:D60))</f>
        <v/>
      </c>
    </row>
    <row r="61" customFormat="false" ht="19.5" hidden="false" customHeight="true" outlineLevel="0" collapsed="false">
      <c r="A61" s="50"/>
      <c r="B61" s="45"/>
      <c r="C61" s="45"/>
      <c r="D61" s="47"/>
      <c r="E61" s="43"/>
      <c r="F61" s="20" t="str">
        <f aca="false">IF(E61="","",D61*E61)</f>
        <v/>
      </c>
      <c r="G61" s="44" t="str">
        <f aca="false">IF(D61="","",SUMIF(B$6:B61,"MSTW",D$6:D61))</f>
        <v/>
      </c>
      <c r="H61" s="44" t="str">
        <f aca="false">IF(D61="","",SUMIF(B$6:B61,"YETH",D$6:D61))</f>
        <v/>
      </c>
    </row>
    <row r="62" customFormat="false" ht="19.5" hidden="false" customHeight="true" outlineLevel="0" collapsed="false">
      <c r="A62" s="18"/>
      <c r="B62" s="40"/>
      <c r="C62" s="40"/>
      <c r="D62" s="42"/>
      <c r="E62" s="43"/>
      <c r="F62" s="49" t="str">
        <f aca="false">IF(E62="","",D62*E62)</f>
        <v/>
      </c>
      <c r="G62" s="44" t="str">
        <f aca="false">IF(D62="","",SUMIF(B$6:B62,"MSTW",D$6:D62))</f>
        <v/>
      </c>
      <c r="H62" s="44" t="str">
        <f aca="false">IF(D62="","",SUMIF(B$6:B62,"YETH",D$6:D62))</f>
        <v/>
      </c>
    </row>
    <row r="63" customFormat="false" ht="19.5" hidden="false" customHeight="true" outlineLevel="0" collapsed="false">
      <c r="A63" s="50"/>
      <c r="B63" s="45"/>
      <c r="C63" s="45"/>
      <c r="D63" s="47"/>
      <c r="E63" s="43"/>
      <c r="F63" s="20" t="str">
        <f aca="false">IF(E63="","",D63*E63)</f>
        <v/>
      </c>
      <c r="G63" s="44" t="str">
        <f aca="false">IF(D63="","",SUMIF(B$6:B63,"MSTW",D$6:D63))</f>
        <v/>
      </c>
      <c r="H63" s="44" t="str">
        <f aca="false">IF(D63="","",SUMIF(B$6:B63,"YETH",D$6:D63))</f>
        <v/>
      </c>
    </row>
    <row r="64" customFormat="false" ht="19.5" hidden="false" customHeight="true" outlineLevel="0" collapsed="false">
      <c r="A64" s="18"/>
      <c r="B64" s="40"/>
      <c r="C64" s="40"/>
      <c r="D64" s="42"/>
      <c r="E64" s="43"/>
      <c r="F64" s="49" t="str">
        <f aca="false">IF(E64="","",D64*E64)</f>
        <v/>
      </c>
      <c r="G64" s="44" t="str">
        <f aca="false">IF(D64="","",SUMIF(B$6:B64,"MSTW",D$6:D64))</f>
        <v/>
      </c>
      <c r="H64" s="44" t="str">
        <f aca="false">IF(D64="","",SUMIF(B$6:B64,"YETH",D$6:D64))</f>
        <v/>
      </c>
    </row>
    <row r="65" customFormat="false" ht="19.5" hidden="false" customHeight="true" outlineLevel="0" collapsed="false">
      <c r="A65" s="50"/>
      <c r="B65" s="45"/>
      <c r="C65" s="45"/>
      <c r="D65" s="47"/>
      <c r="E65" s="43"/>
      <c r="F65" s="20" t="str">
        <f aca="false">IF(E65="","",D65*E65)</f>
        <v/>
      </c>
      <c r="G65" s="44" t="str">
        <f aca="false">IF(D65="","",SUMIF(B$6:B65,"MSTW",D$6:D65))</f>
        <v/>
      </c>
      <c r="H65" s="44" t="str">
        <f aca="false">IF(D65="","",SUMIF(B$6:B65,"YETH",D$6:D65))</f>
        <v/>
      </c>
    </row>
    <row r="66" customFormat="false" ht="19.5" hidden="false" customHeight="true" outlineLevel="0" collapsed="false">
      <c r="A66" s="18"/>
      <c r="B66" s="40"/>
      <c r="C66" s="40"/>
      <c r="D66" s="42"/>
      <c r="E66" s="43"/>
      <c r="F66" s="49" t="str">
        <f aca="false">IF(E66="","",D66*E66)</f>
        <v/>
      </c>
      <c r="G66" s="44" t="str">
        <f aca="false">IF(D66="","",SUMIF(B$6:B66,"MSTW",D$6:D66))</f>
        <v/>
      </c>
      <c r="H66" s="44" t="str">
        <f aca="false">IF(D66="","",SUMIF(B$6:B66,"YETH",D$6:D66))</f>
        <v/>
      </c>
    </row>
    <row r="67" customFormat="false" ht="19.5" hidden="false" customHeight="true" outlineLevel="0" collapsed="false">
      <c r="A67" s="50"/>
      <c r="B67" s="45"/>
      <c r="C67" s="45"/>
      <c r="D67" s="47"/>
      <c r="E67" s="43"/>
      <c r="F67" s="20" t="str">
        <f aca="false">IF(E67="","",D67*E67)</f>
        <v/>
      </c>
      <c r="G67" s="44" t="str">
        <f aca="false">IF(D67="","",SUMIF(B$6:B67,"MSTW",D$6:D67))</f>
        <v/>
      </c>
      <c r="H67" s="44" t="str">
        <f aca="false">IF(D67="","",SUMIF(B$6:B67,"YETH",D$6:D67))</f>
        <v/>
      </c>
    </row>
    <row r="68" customFormat="false" ht="19.5" hidden="false" customHeight="true" outlineLevel="0" collapsed="false">
      <c r="A68" s="18"/>
      <c r="B68" s="40"/>
      <c r="C68" s="40"/>
      <c r="D68" s="42"/>
      <c r="E68" s="43"/>
      <c r="F68" s="49" t="str">
        <f aca="false">IF(E68="","",D68*E68)</f>
        <v/>
      </c>
      <c r="G68" s="44" t="str">
        <f aca="false">IF(D68="","",SUMIF(B$6:B68,"MSTW",D$6:D68))</f>
        <v/>
      </c>
      <c r="H68" s="44" t="str">
        <f aca="false">IF(D68="","",SUMIF(B$6:B68,"YETH",D$6:D68))</f>
        <v/>
      </c>
    </row>
    <row r="69" customFormat="false" ht="19.5" hidden="false" customHeight="true" outlineLevel="0" collapsed="false">
      <c r="A69" s="50"/>
      <c r="B69" s="45"/>
      <c r="C69" s="45"/>
      <c r="D69" s="47"/>
      <c r="E69" s="43"/>
      <c r="F69" s="20" t="str">
        <f aca="false">IF(E69="","",D69*E69)</f>
        <v/>
      </c>
      <c r="G69" s="44" t="str">
        <f aca="false">IF(D69="","",SUMIF(B$6:B69,"MSTW",D$6:D69))</f>
        <v/>
      </c>
      <c r="H69" s="44" t="str">
        <f aca="false">IF(D69="","",SUMIF(B$6:B69,"YETH",D$6:D69))</f>
        <v/>
      </c>
    </row>
    <row r="70" customFormat="false" ht="19.5" hidden="false" customHeight="true" outlineLevel="0" collapsed="false">
      <c r="A70" s="18"/>
      <c r="B70" s="40"/>
      <c r="C70" s="40"/>
      <c r="D70" s="42"/>
      <c r="E70" s="43"/>
      <c r="F70" s="49" t="str">
        <f aca="false">IF(E70="","",D70*E70)</f>
        <v/>
      </c>
      <c r="G70" s="44" t="str">
        <f aca="false">IF(D70="","",SUMIF(B$6:B70,"MSTW",D$6:D70))</f>
        <v/>
      </c>
      <c r="H70" s="44" t="str">
        <f aca="false">IF(D70="","",SUMIF(B$6:B70,"YETH",D$6:D70))</f>
        <v/>
      </c>
    </row>
    <row r="71" customFormat="false" ht="19.5" hidden="false" customHeight="true" outlineLevel="0" collapsed="false">
      <c r="A71" s="50"/>
      <c r="B71" s="45"/>
      <c r="C71" s="45"/>
      <c r="D71" s="47"/>
      <c r="E71" s="43"/>
      <c r="F71" s="20" t="str">
        <f aca="false">IF(E71="","",D71*E71)</f>
        <v/>
      </c>
      <c r="G71" s="44" t="str">
        <f aca="false">IF(D71="","",SUMIF(B$6:B71,"MSTW",D$6:D71))</f>
        <v/>
      </c>
      <c r="H71" s="44" t="str">
        <f aca="false">IF(D71="","",SUMIF(B$6:B71,"YETH",D$6:D71))</f>
        <v/>
      </c>
    </row>
    <row r="72" customFormat="false" ht="19.5" hidden="false" customHeight="true" outlineLevel="0" collapsed="false">
      <c r="A72" s="18"/>
      <c r="B72" s="40"/>
      <c r="C72" s="40"/>
      <c r="D72" s="42"/>
      <c r="E72" s="43"/>
      <c r="F72" s="49" t="str">
        <f aca="false">IF(E72="","",D72*E72)</f>
        <v/>
      </c>
      <c r="G72" s="44" t="str">
        <f aca="false">IF(D72="","",SUMIF(B$6:B72,"MSTW",D$6:D72))</f>
        <v/>
      </c>
      <c r="H72" s="44" t="str">
        <f aca="false">IF(D72="","",SUMIF(B$6:B72,"YETH",D$6:D72))</f>
        <v/>
      </c>
    </row>
    <row r="73" customFormat="false" ht="19.5" hidden="false" customHeight="true" outlineLevel="0" collapsed="false">
      <c r="A73" s="50"/>
      <c r="B73" s="45"/>
      <c r="C73" s="45"/>
      <c r="D73" s="47"/>
      <c r="E73" s="43"/>
      <c r="F73" s="20" t="str">
        <f aca="false">IF(E73="","",D73*E73)</f>
        <v/>
      </c>
      <c r="G73" s="44" t="str">
        <f aca="false">IF(D73="","",SUMIF(B$6:B73,"MSTW",D$6:D73))</f>
        <v/>
      </c>
      <c r="H73" s="44" t="str">
        <f aca="false">IF(D73="","",SUMIF(B$6:B73,"YETH",D$6:D73))</f>
        <v/>
      </c>
    </row>
    <row r="74" customFormat="false" ht="19.5" hidden="false" customHeight="true" outlineLevel="0" collapsed="false">
      <c r="A74" s="18"/>
      <c r="B74" s="40"/>
      <c r="C74" s="40"/>
      <c r="D74" s="42"/>
      <c r="E74" s="43"/>
      <c r="F74" s="49" t="str">
        <f aca="false">IF(E74="","",D74*E74)</f>
        <v/>
      </c>
      <c r="G74" s="44" t="str">
        <f aca="false">IF(D74="","",SUMIF(B$6:B74,"MSTW",D$6:D74))</f>
        <v/>
      </c>
      <c r="H74" s="44" t="str">
        <f aca="false">IF(D74="","",SUMIF(B$6:B74,"YETH",D$6:D74))</f>
        <v/>
      </c>
    </row>
    <row r="75" customFormat="false" ht="19.5" hidden="false" customHeight="true" outlineLevel="0" collapsed="false">
      <c r="A75" s="50"/>
      <c r="B75" s="45"/>
      <c r="C75" s="45"/>
      <c r="D75" s="47"/>
      <c r="E75" s="43"/>
      <c r="F75" s="20" t="str">
        <f aca="false">IF(E75="","",D75*E75)</f>
        <v/>
      </c>
      <c r="G75" s="44" t="str">
        <f aca="false">IF(D75="","",SUMIF(B$6:B75,"MSTW",D$6:D75))</f>
        <v/>
      </c>
      <c r="H75" s="44" t="str">
        <f aca="false">IF(D75="","",SUMIF(B$6:B75,"YETH",D$6:D75))</f>
        <v/>
      </c>
    </row>
    <row r="76" customFormat="false" ht="19.5" hidden="false" customHeight="true" outlineLevel="0" collapsed="false">
      <c r="A76" s="18"/>
      <c r="B76" s="40"/>
      <c r="C76" s="40"/>
      <c r="D76" s="42"/>
      <c r="E76" s="43"/>
      <c r="F76" s="49" t="str">
        <f aca="false">IF(E76="","",D76*E76)</f>
        <v/>
      </c>
      <c r="G76" s="44" t="str">
        <f aca="false">IF(D76="","",SUMIF(B$6:B76,"MSTW",D$6:D76))</f>
        <v/>
      </c>
      <c r="H76" s="44" t="str">
        <f aca="false">IF(D76="","",SUMIF(B$6:B76,"YETH",D$6:D76))</f>
        <v/>
      </c>
    </row>
    <row r="77" customFormat="false" ht="19.5" hidden="false" customHeight="true" outlineLevel="0" collapsed="false">
      <c r="A77" s="50"/>
      <c r="B77" s="45"/>
      <c r="C77" s="45"/>
      <c r="D77" s="47"/>
      <c r="E77" s="43"/>
      <c r="F77" s="20" t="str">
        <f aca="false">IF(E77="","",D77*E77)</f>
        <v/>
      </c>
      <c r="G77" s="44" t="str">
        <f aca="false">IF(D77="","",SUMIF(B$6:B77,"MSTW",D$6:D77))</f>
        <v/>
      </c>
      <c r="H77" s="44" t="str">
        <f aca="false">IF(D77="","",SUMIF(B$6:B77,"YETH",D$6:D77))</f>
        <v/>
      </c>
    </row>
    <row r="78" customFormat="false" ht="19.5" hidden="false" customHeight="true" outlineLevel="0" collapsed="false">
      <c r="A78" s="18"/>
      <c r="B78" s="40"/>
      <c r="C78" s="40"/>
      <c r="D78" s="42"/>
      <c r="E78" s="43"/>
      <c r="F78" s="49" t="str">
        <f aca="false">IF(E78="","",D78*E78)</f>
        <v/>
      </c>
      <c r="G78" s="44" t="str">
        <f aca="false">IF(D78="","",SUMIF(B$6:B78,"MSTW",D$6:D78))</f>
        <v/>
      </c>
      <c r="H78" s="44" t="str">
        <f aca="false">IF(D78="","",SUMIF(B$6:B78,"YETH",D$6:D78))</f>
        <v/>
      </c>
    </row>
    <row r="79" customFormat="false" ht="19.5" hidden="false" customHeight="true" outlineLevel="0" collapsed="false">
      <c r="A79" s="50"/>
      <c r="B79" s="45"/>
      <c r="C79" s="45"/>
      <c r="D79" s="47"/>
      <c r="E79" s="43"/>
      <c r="F79" s="20" t="str">
        <f aca="false">IF(E79="","",D79*E79)</f>
        <v/>
      </c>
      <c r="G79" s="44" t="str">
        <f aca="false">IF(D79="","",SUMIF(B$6:B79,"MSTW",D$6:D79))</f>
        <v/>
      </c>
      <c r="H79" s="44" t="str">
        <f aca="false">IF(D79="","",SUMIF(B$6:B79,"YETH",D$6:D79))</f>
        <v/>
      </c>
    </row>
    <row r="80" customFormat="false" ht="19.5" hidden="false" customHeight="true" outlineLevel="0" collapsed="false">
      <c r="A80" s="18"/>
      <c r="B80" s="40"/>
      <c r="C80" s="40"/>
      <c r="D80" s="42"/>
      <c r="E80" s="43"/>
      <c r="F80" s="49" t="str">
        <f aca="false">IF(E80="","",D80*E80)</f>
        <v/>
      </c>
      <c r="G80" s="44" t="str">
        <f aca="false">IF(D80="","",SUMIF(B$6:B80,"MSTW",D$6:D80))</f>
        <v/>
      </c>
      <c r="H80" s="44" t="str">
        <f aca="false">IF(D80="","",SUMIF(B$6:B80,"YETH",D$6:D80))</f>
        <v/>
      </c>
    </row>
    <row r="81" customFormat="false" ht="19.5" hidden="false" customHeight="true" outlineLevel="0" collapsed="false">
      <c r="A81" s="50"/>
      <c r="B81" s="45"/>
      <c r="C81" s="45"/>
      <c r="D81" s="47"/>
      <c r="E81" s="43"/>
      <c r="F81" s="20" t="str">
        <f aca="false">IF(E81="","",D81*E81)</f>
        <v/>
      </c>
      <c r="G81" s="44" t="str">
        <f aca="false">IF(D81="","",SUMIF(B$6:B81,"MSTW",D$6:D81))</f>
        <v/>
      </c>
      <c r="H81" s="44" t="str">
        <f aca="false">IF(D81="","",SUMIF(B$6:B81,"YETH",D$6:D81))</f>
        <v/>
      </c>
    </row>
    <row r="82" customFormat="false" ht="19.5" hidden="false" customHeight="true" outlineLevel="0" collapsed="false">
      <c r="A82" s="18"/>
      <c r="B82" s="40"/>
      <c r="C82" s="40"/>
      <c r="D82" s="42"/>
      <c r="E82" s="43"/>
      <c r="F82" s="49" t="str">
        <f aca="false">IF(E82="","",D82*E82)</f>
        <v/>
      </c>
      <c r="G82" s="44" t="str">
        <f aca="false">IF(D82="","",SUMIF(B$6:B82,"MSTW",D$6:D82))</f>
        <v/>
      </c>
      <c r="H82" s="44" t="str">
        <f aca="false">IF(D82="","",SUMIF(B$6:B82,"YETH",D$6:D82))</f>
        <v/>
      </c>
    </row>
    <row r="83" customFormat="false" ht="19.5" hidden="false" customHeight="true" outlineLevel="0" collapsed="false">
      <c r="A83" s="50"/>
      <c r="B83" s="45"/>
      <c r="C83" s="45"/>
      <c r="D83" s="47"/>
      <c r="E83" s="43"/>
      <c r="F83" s="20" t="str">
        <f aca="false">IF(E83="","",D83*E83)</f>
        <v/>
      </c>
      <c r="G83" s="44" t="str">
        <f aca="false">IF(D83="","",SUMIF(B$6:B83,"MSTW",D$6:D83))</f>
        <v/>
      </c>
      <c r="H83" s="44" t="str">
        <f aca="false">IF(D83="","",SUMIF(B$6:B83,"YETH",D$6:D83))</f>
        <v/>
      </c>
    </row>
    <row r="84" customFormat="false" ht="19.5" hidden="false" customHeight="true" outlineLevel="0" collapsed="false">
      <c r="A84" s="18"/>
      <c r="B84" s="40"/>
      <c r="C84" s="40"/>
      <c r="D84" s="42"/>
      <c r="E84" s="43"/>
      <c r="F84" s="49" t="str">
        <f aca="false">IF(E84="","",D84*E84)</f>
        <v/>
      </c>
      <c r="G84" s="44" t="str">
        <f aca="false">IF(D84="","",SUMIF(B$6:B84,"MSTW",D$6:D84))</f>
        <v/>
      </c>
      <c r="H84" s="44" t="str">
        <f aca="false">IF(D84="","",SUMIF(B$6:B84,"YETH",D$6:D84))</f>
        <v/>
      </c>
    </row>
    <row r="85" customFormat="false" ht="19.5" hidden="false" customHeight="true" outlineLevel="0" collapsed="false">
      <c r="A85" s="50"/>
      <c r="B85" s="45"/>
      <c r="C85" s="45"/>
      <c r="D85" s="47"/>
      <c r="E85" s="43"/>
      <c r="F85" s="20" t="str">
        <f aca="false">IF(E85="","",D85*E85)</f>
        <v/>
      </c>
      <c r="G85" s="44" t="str">
        <f aca="false">IF(D85="","",SUMIF(B$6:B85,"MSTW",D$6:D85))</f>
        <v/>
      </c>
      <c r="H85" s="44" t="str">
        <f aca="false">IF(D85="","",SUMIF(B$6:B85,"YETH",D$6:D85))</f>
        <v/>
      </c>
    </row>
    <row r="86" customFormat="false" ht="19.5" hidden="false" customHeight="true" outlineLevel="0" collapsed="false">
      <c r="A86" s="18"/>
      <c r="B86" s="40"/>
      <c r="C86" s="40"/>
      <c r="D86" s="42"/>
      <c r="E86" s="43"/>
      <c r="F86" s="49" t="str">
        <f aca="false">IF(E86="","",D86*E86)</f>
        <v/>
      </c>
      <c r="G86" s="44" t="str">
        <f aca="false">IF(D86="","",SUMIF(B$6:B86,"MSTW",D$6:D86))</f>
        <v/>
      </c>
      <c r="H86" s="44" t="str">
        <f aca="false">IF(D86="","",SUMIF(B$6:B86,"YETH",D$6:D86))</f>
        <v/>
      </c>
    </row>
    <row r="87" customFormat="false" ht="19.5" hidden="false" customHeight="true" outlineLevel="0" collapsed="false">
      <c r="A87" s="50"/>
      <c r="B87" s="45"/>
      <c r="C87" s="45"/>
      <c r="D87" s="47"/>
      <c r="E87" s="43"/>
      <c r="F87" s="20" t="str">
        <f aca="false">IF(E87="","",D87*E87)</f>
        <v/>
      </c>
      <c r="G87" s="44" t="str">
        <f aca="false">IF(D87="","",SUMIF(B$6:B87,"MSTW",D$6:D87))</f>
        <v/>
      </c>
      <c r="H87" s="44" t="str">
        <f aca="false">IF(D87="","",SUMIF(B$6:B87,"YETH",D$6:D87))</f>
        <v/>
      </c>
    </row>
    <row r="88" customFormat="false" ht="19.5" hidden="false" customHeight="true" outlineLevel="0" collapsed="false">
      <c r="A88" s="18"/>
      <c r="B88" s="40"/>
      <c r="C88" s="40"/>
      <c r="D88" s="42"/>
      <c r="E88" s="43"/>
      <c r="F88" s="49" t="str">
        <f aca="false">IF(E88="","",D88*E88)</f>
        <v/>
      </c>
      <c r="G88" s="44" t="str">
        <f aca="false">IF(D88="","",SUMIF(B$6:B88,"MSTW",D$6:D88))</f>
        <v/>
      </c>
      <c r="H88" s="44" t="str">
        <f aca="false">IF(D88="","",SUMIF(B$6:B88,"YETH",D$6:D88))</f>
        <v/>
      </c>
    </row>
    <row r="89" customFormat="false" ht="19.5" hidden="false" customHeight="true" outlineLevel="0" collapsed="false">
      <c r="A89" s="50"/>
      <c r="B89" s="45"/>
      <c r="C89" s="45"/>
      <c r="D89" s="47"/>
      <c r="E89" s="43"/>
      <c r="F89" s="20" t="str">
        <f aca="false">IF(E89="","",D89*E89)</f>
        <v/>
      </c>
      <c r="G89" s="44" t="str">
        <f aca="false">IF(D89="","",SUMIF(B$6:B89,"MSTW",D$6:D89))</f>
        <v/>
      </c>
      <c r="H89" s="44" t="str">
        <f aca="false">IF(D89="","",SUMIF(B$6:B89,"YETH",D$6:D89))</f>
        <v/>
      </c>
    </row>
    <row r="90" customFormat="false" ht="19.5" hidden="false" customHeight="true" outlineLevel="0" collapsed="false">
      <c r="A90" s="18"/>
      <c r="B90" s="40"/>
      <c r="C90" s="40"/>
      <c r="D90" s="42"/>
      <c r="E90" s="43"/>
      <c r="F90" s="49" t="str">
        <f aca="false">IF(E90="","",D90*E90)</f>
        <v/>
      </c>
      <c r="G90" s="44" t="str">
        <f aca="false">IF(D90="","",SUMIF(B$6:B90,"MSTW",D$6:D90))</f>
        <v/>
      </c>
      <c r="H90" s="44" t="str">
        <f aca="false">IF(D90="","",SUMIF(B$6:B90,"YETH",D$6:D90))</f>
        <v/>
      </c>
    </row>
    <row r="91" customFormat="false" ht="19.5" hidden="false" customHeight="true" outlineLevel="0" collapsed="false">
      <c r="A91" s="50"/>
      <c r="B91" s="45"/>
      <c r="C91" s="45"/>
      <c r="D91" s="47"/>
      <c r="E91" s="43"/>
      <c r="F91" s="20" t="str">
        <f aca="false">IF(E91="","",D91*E91)</f>
        <v/>
      </c>
      <c r="G91" s="44" t="str">
        <f aca="false">IF(D91="","",SUMIF(B$6:B91,"MSTW",D$6:D91))</f>
        <v/>
      </c>
      <c r="H91" s="44" t="str">
        <f aca="false">IF(D91="","",SUMIF(B$6:B91,"YETH",D$6:D91))</f>
        <v/>
      </c>
    </row>
    <row r="92" customFormat="false" ht="19.5" hidden="false" customHeight="true" outlineLevel="0" collapsed="false">
      <c r="A92" s="18"/>
      <c r="B92" s="40"/>
      <c r="C92" s="40"/>
      <c r="D92" s="42"/>
      <c r="E92" s="43"/>
      <c r="F92" s="49" t="str">
        <f aca="false">IF(E92="","",D92*E92)</f>
        <v/>
      </c>
      <c r="G92" s="44" t="str">
        <f aca="false">IF(D92="","",SUMIF(B$6:B92,"MSTW",D$6:D92))</f>
        <v/>
      </c>
      <c r="H92" s="44" t="str">
        <f aca="false">IF(D92="","",SUMIF(B$6:B92,"YETH",D$6:D92))</f>
        <v/>
      </c>
    </row>
    <row r="93" customFormat="false" ht="19.5" hidden="false" customHeight="true" outlineLevel="0" collapsed="false">
      <c r="A93" s="50"/>
      <c r="B93" s="45"/>
      <c r="C93" s="45"/>
      <c r="D93" s="47"/>
      <c r="E93" s="43"/>
      <c r="F93" s="20" t="str">
        <f aca="false">IF(E93="","",D93*E93)</f>
        <v/>
      </c>
      <c r="G93" s="44" t="str">
        <f aca="false">IF(D93="","",SUMIF(B$6:B93,"MSTW",D$6:D93))</f>
        <v/>
      </c>
      <c r="H93" s="44" t="str">
        <f aca="false">IF(D93="","",SUMIF(B$6:B93,"YETH",D$6:D93))</f>
        <v/>
      </c>
    </row>
    <row r="94" customFormat="false" ht="19.5" hidden="false" customHeight="true" outlineLevel="0" collapsed="false">
      <c r="A94" s="18"/>
      <c r="B94" s="40"/>
      <c r="C94" s="40"/>
      <c r="D94" s="42"/>
      <c r="E94" s="43"/>
      <c r="F94" s="49" t="str">
        <f aca="false">IF(E94="","",D94*E94)</f>
        <v/>
      </c>
      <c r="G94" s="44" t="str">
        <f aca="false">IF(D94="","",SUMIF(B$6:B94,"MSTW",D$6:D94))</f>
        <v/>
      </c>
      <c r="H94" s="44" t="str">
        <f aca="false">IF(D94="","",SUMIF(B$6:B94,"YETH",D$6:D94))</f>
        <v/>
      </c>
    </row>
    <row r="95" customFormat="false" ht="19.5" hidden="false" customHeight="true" outlineLevel="0" collapsed="false">
      <c r="A95" s="50"/>
      <c r="B95" s="45"/>
      <c r="C95" s="45"/>
      <c r="D95" s="47"/>
      <c r="E95" s="43"/>
      <c r="F95" s="20" t="str">
        <f aca="false">IF(E95="","",D95*E95)</f>
        <v/>
      </c>
      <c r="G95" s="44" t="str">
        <f aca="false">IF(D95="","",SUMIF(B$6:B95,"MSTW",D$6:D95))</f>
        <v/>
      </c>
      <c r="H95" s="44" t="str">
        <f aca="false">IF(D95="","",SUMIF(B$6:B95,"YETH",D$6:D95))</f>
        <v/>
      </c>
    </row>
    <row r="96" customFormat="false" ht="19.5" hidden="false" customHeight="true" outlineLevel="0" collapsed="false">
      <c r="A96" s="18"/>
      <c r="B96" s="40"/>
      <c r="C96" s="40"/>
      <c r="D96" s="42"/>
      <c r="E96" s="43"/>
      <c r="F96" s="49" t="str">
        <f aca="false">IF(E96="","",D96*E96)</f>
        <v/>
      </c>
      <c r="G96" s="44" t="str">
        <f aca="false">IF(D96="","",SUMIF(B$6:B96,"MSTW",D$6:D96))</f>
        <v/>
      </c>
      <c r="H96" s="44" t="str">
        <f aca="false">IF(D96="","",SUMIF(B$6:B96,"YETH",D$6:D96))</f>
        <v/>
      </c>
    </row>
    <row r="97" customFormat="false" ht="19.5" hidden="false" customHeight="true" outlineLevel="0" collapsed="false">
      <c r="A97" s="50"/>
      <c r="B97" s="45"/>
      <c r="C97" s="45"/>
      <c r="D97" s="47"/>
      <c r="E97" s="43"/>
      <c r="F97" s="20" t="str">
        <f aca="false">IF(E97="","",D97*E97)</f>
        <v/>
      </c>
      <c r="G97" s="44" t="str">
        <f aca="false">IF(D97="","",SUMIF(B$6:B97,"MSTW",D$6:D97))</f>
        <v/>
      </c>
      <c r="H97" s="44" t="str">
        <f aca="false">IF(D97="","",SUMIF(B$6:B97,"YETH",D$6:D97))</f>
        <v/>
      </c>
    </row>
    <row r="98" customFormat="false" ht="19.5" hidden="false" customHeight="true" outlineLevel="0" collapsed="false">
      <c r="A98" s="18"/>
      <c r="B98" s="40"/>
      <c r="C98" s="40"/>
      <c r="D98" s="42"/>
      <c r="E98" s="43"/>
      <c r="F98" s="49" t="str">
        <f aca="false">IF(E98="","",D98*E98)</f>
        <v/>
      </c>
      <c r="G98" s="44" t="str">
        <f aca="false">IF(D98="","",SUMIF(B$6:B98,"MSTW",D$6:D98))</f>
        <v/>
      </c>
      <c r="H98" s="44" t="str">
        <f aca="false">IF(D98="","",SUMIF(B$6:B98,"YETH",D$6:D98))</f>
        <v/>
      </c>
    </row>
    <row r="99" customFormat="false" ht="19.5" hidden="false" customHeight="true" outlineLevel="0" collapsed="false">
      <c r="A99" s="50"/>
      <c r="B99" s="45"/>
      <c r="C99" s="45"/>
      <c r="D99" s="47"/>
      <c r="E99" s="43"/>
      <c r="F99" s="20" t="str">
        <f aca="false">IF(E99="","",D99*E99)</f>
        <v/>
      </c>
      <c r="G99" s="44" t="str">
        <f aca="false">IF(D99="","",SUMIF(B$6:B99,"MSTW",D$6:D99))</f>
        <v/>
      </c>
      <c r="H99" s="44" t="str">
        <f aca="false">IF(D99="","",SUMIF(B$6:B99,"YETH",D$6:D99))</f>
        <v/>
      </c>
    </row>
    <row r="100" customFormat="false" ht="19.5" hidden="false" customHeight="true" outlineLevel="0" collapsed="false">
      <c r="A100" s="18"/>
      <c r="B100" s="40"/>
      <c r="C100" s="40"/>
      <c r="D100" s="42"/>
      <c r="E100" s="43"/>
      <c r="F100" s="49" t="str">
        <f aca="false">IF(E100="","",D100*E100)</f>
        <v/>
      </c>
      <c r="G100" s="44" t="str">
        <f aca="false">IF(D100="","",SUMIF(B$6:B100,"MSTW",D$6:D100))</f>
        <v/>
      </c>
      <c r="H100" s="44" t="str">
        <f aca="false">IF(D100="","",SUMIF(B$6:B100,"YETH",D$6:D100))</f>
        <v/>
      </c>
    </row>
    <row r="101" customFormat="false" ht="19.5" hidden="false" customHeight="true" outlineLevel="0" collapsed="false">
      <c r="A101" s="50"/>
      <c r="B101" s="45"/>
      <c r="C101" s="45"/>
      <c r="D101" s="47"/>
      <c r="E101" s="43"/>
      <c r="F101" s="20" t="str">
        <f aca="false">IF(E101="","",D101*E101)</f>
        <v/>
      </c>
      <c r="G101" s="44" t="str">
        <f aca="false">IF(D101="","",SUMIF(B$6:B101,"MSTW",D$6:D101))</f>
        <v/>
      </c>
      <c r="H101" s="44" t="str">
        <f aca="false">IF(D101="","",SUMIF(B$6:B101,"YETH",D$6:D101))</f>
        <v/>
      </c>
    </row>
    <row r="102" customFormat="false" ht="19.5" hidden="false" customHeight="true" outlineLevel="0" collapsed="false">
      <c r="A102" s="18"/>
      <c r="B102" s="40"/>
      <c r="C102" s="40"/>
      <c r="D102" s="42"/>
      <c r="E102" s="43"/>
      <c r="F102" s="49" t="str">
        <f aca="false">IF(E102="","",D102*E102)</f>
        <v/>
      </c>
      <c r="G102" s="44" t="str">
        <f aca="false">IF(D102="","",SUMIF(B$6:B102,"MSTW",D$6:D102))</f>
        <v/>
      </c>
      <c r="H102" s="44" t="str">
        <f aca="false">IF(D102="","",SUMIF(B$6:B102,"YETH",D$6:D102))</f>
        <v/>
      </c>
    </row>
    <row r="103" customFormat="false" ht="19.5" hidden="false" customHeight="true" outlineLevel="0" collapsed="false">
      <c r="A103" s="50"/>
      <c r="B103" s="45"/>
      <c r="C103" s="45"/>
      <c r="D103" s="47"/>
      <c r="E103" s="43"/>
      <c r="F103" s="20" t="str">
        <f aca="false">IF(E103="","",D103*E103)</f>
        <v/>
      </c>
      <c r="G103" s="44" t="str">
        <f aca="false">IF(D103="","",SUMIF(B$6:B103,"MSTW",D$6:D103))</f>
        <v/>
      </c>
      <c r="H103" s="44" t="str">
        <f aca="false">IF(D103="","",SUMIF(B$6:B103,"YETH",D$6:D103))</f>
        <v/>
      </c>
    </row>
    <row r="104" customFormat="false" ht="19.5" hidden="false" customHeight="true" outlineLevel="0" collapsed="false">
      <c r="A104" s="18"/>
      <c r="B104" s="40"/>
      <c r="C104" s="40"/>
      <c r="D104" s="42"/>
      <c r="E104" s="43"/>
      <c r="F104" s="49" t="str">
        <f aca="false">IF(E104="","",D104*E104)</f>
        <v/>
      </c>
      <c r="G104" s="44" t="str">
        <f aca="false">IF(D104="","",SUMIF(B$6:B104,"MSTW",D$6:D104))</f>
        <v/>
      </c>
      <c r="H104" s="44" t="str">
        <f aca="false">IF(D104="","",SUMIF(B$6:B104,"YETH",D$6:D104))</f>
        <v/>
      </c>
    </row>
    <row r="105" customFormat="false" ht="19.5" hidden="false" customHeight="true" outlineLevel="0" collapsed="false">
      <c r="A105" s="50"/>
      <c r="B105" s="45"/>
      <c r="C105" s="45"/>
      <c r="D105" s="47"/>
      <c r="E105" s="43"/>
      <c r="F105" s="20" t="str">
        <f aca="false">IF(E105="","",D105*E105)</f>
        <v/>
      </c>
      <c r="G105" s="44" t="str">
        <f aca="false">IF(D105="","",SUMIF(B$6:B105,"MSTW",D$6:D105))</f>
        <v/>
      </c>
      <c r="H105" s="44" t="str">
        <f aca="false">IF(D105="","",SUMIF(B$6:B105,"YETH",D$6:D105))</f>
        <v/>
      </c>
    </row>
    <row r="106" customFormat="false" ht="19.5" hidden="false" customHeight="true" outlineLevel="0" collapsed="false">
      <c r="A106" s="18"/>
      <c r="B106" s="40"/>
      <c r="C106" s="40"/>
      <c r="D106" s="42"/>
      <c r="E106" s="43"/>
      <c r="F106" s="49" t="str">
        <f aca="false">IF(E106="","",D106*E106)</f>
        <v/>
      </c>
      <c r="G106" s="44" t="str">
        <f aca="false">IF(D106="","",SUMIF(B$6:B106,"MSTW",D$6:D106))</f>
        <v/>
      </c>
      <c r="H106" s="44" t="str">
        <f aca="false">IF(D106="","",SUMIF(B$6:B106,"YETH",D$6:D106))</f>
        <v/>
      </c>
    </row>
    <row r="107" customFormat="false" ht="19.5" hidden="false" customHeight="true" outlineLevel="0" collapsed="false">
      <c r="A107" s="50"/>
      <c r="B107" s="45"/>
      <c r="C107" s="45"/>
      <c r="D107" s="47"/>
      <c r="E107" s="43"/>
      <c r="F107" s="20" t="str">
        <f aca="false">IF(E107="","",D107*E107)</f>
        <v/>
      </c>
      <c r="G107" s="44" t="str">
        <f aca="false">IF(D107="","",SUMIF(B$6:B107,"MSTW",D$6:D107))</f>
        <v/>
      </c>
      <c r="H107" s="44" t="str">
        <f aca="false">IF(D107="","",SUMIF(B$6:B107,"YETH",D$6:D107))</f>
        <v/>
      </c>
    </row>
    <row r="108" customFormat="false" ht="19.5" hidden="false" customHeight="true" outlineLevel="0" collapsed="false">
      <c r="A108" s="18"/>
      <c r="B108" s="40"/>
      <c r="C108" s="40"/>
      <c r="D108" s="42"/>
      <c r="E108" s="43"/>
      <c r="F108" s="49" t="str">
        <f aca="false">IF(E108="","",D108*E108)</f>
        <v/>
      </c>
      <c r="G108" s="44" t="str">
        <f aca="false">IF(D108="","",SUMIF(B$6:B108,"MSTW",D$6:D108))</f>
        <v/>
      </c>
      <c r="H108" s="44" t="str">
        <f aca="false">IF(D108="","",SUMIF(B$6:B108,"YETH",D$6:D108))</f>
        <v/>
      </c>
    </row>
    <row r="109" customFormat="false" ht="19.5" hidden="false" customHeight="true" outlineLevel="0" collapsed="false">
      <c r="A109" s="50"/>
      <c r="B109" s="45"/>
      <c r="C109" s="45"/>
      <c r="D109" s="47"/>
      <c r="E109" s="43"/>
      <c r="F109" s="20" t="str">
        <f aca="false">IF(E109="","",D109*E109)</f>
        <v/>
      </c>
      <c r="G109" s="44" t="str">
        <f aca="false">IF(D109="","",SUMIF(B$6:B109,"MSTW",D$6:D109))</f>
        <v/>
      </c>
      <c r="H109" s="44" t="str">
        <f aca="false">IF(D109="","",SUMIF(B$6:B109,"YETH",D$6:D109))</f>
        <v/>
      </c>
    </row>
    <row r="110" customFormat="false" ht="25.5" hidden="false" customHeight="true" outlineLevel="0" collapsed="false">
      <c r="A110" s="51"/>
      <c r="B110" s="51"/>
      <c r="C110" s="51"/>
      <c r="D110" s="52" t="n">
        <f aca="false">SUM(D6:D109)</f>
        <v>4402</v>
      </c>
      <c r="F110" s="38" t="n">
        <f aca="false">SUM(F6:F109)</f>
        <v>0</v>
      </c>
    </row>
    <row r="111" customFormat="false" ht="19.5" hidden="false" customHeight="true" outlineLevel="0" collapsed="false">
      <c r="A111" s="14"/>
      <c r="B111" s="14"/>
      <c r="C111" s="14"/>
      <c r="D111" s="14"/>
      <c r="E111" s="14"/>
      <c r="F111" s="14"/>
      <c r="G111" s="14"/>
      <c r="H111" s="14"/>
    </row>
  </sheetData>
  <mergeCells count="3">
    <mergeCell ref="A3:H3"/>
    <mergeCell ref="A110:C110"/>
    <mergeCell ref="A111:H11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7" min="1" style="1" width="14"/>
    <col collapsed="false" customWidth="true" hidden="false" outlineLevel="0" max="8" min="8" style="1" width="18"/>
  </cols>
  <sheetData>
    <row r="1" customFormat="false" ht="7.5" hidden="false" customHeight="true" outlineLevel="0" collapsed="false">
      <c r="A1" s="13"/>
    </row>
    <row r="2" customFormat="false" ht="36" hidden="false" customHeight="true" outlineLevel="0" collapsed="false">
      <c r="A2" s="13" t="s">
        <v>78</v>
      </c>
    </row>
    <row r="3" customFormat="false" ht="19.5" hidden="false" customHeight="true" outlineLevel="0" collapsed="false">
      <c r="A3" s="14" t="s">
        <v>79</v>
      </c>
      <c r="B3" s="14"/>
      <c r="C3" s="14"/>
      <c r="D3" s="14"/>
      <c r="E3" s="14"/>
      <c r="F3" s="14"/>
      <c r="G3" s="14"/>
      <c r="H3" s="14"/>
    </row>
    <row r="5" customFormat="false" ht="31.5" hidden="false" customHeight="true" outlineLevel="0" collapsed="false">
      <c r="A5" s="16" t="s">
        <v>69</v>
      </c>
      <c r="B5" s="16" t="s">
        <v>80</v>
      </c>
      <c r="C5" s="16" t="s">
        <v>81</v>
      </c>
      <c r="D5" s="16" t="s">
        <v>82</v>
      </c>
      <c r="E5" s="16" t="s">
        <v>83</v>
      </c>
      <c r="F5" s="16" t="s">
        <v>84</v>
      </c>
      <c r="G5" s="16" t="s">
        <v>85</v>
      </c>
      <c r="H5" s="16" t="s">
        <v>86</v>
      </c>
    </row>
    <row r="6" customFormat="false" ht="21.75" hidden="false" customHeight="true" outlineLevel="0" collapsed="false">
      <c r="A6" s="53" t="s">
        <v>87</v>
      </c>
      <c r="B6" s="54" t="n">
        <v>0.15</v>
      </c>
      <c r="C6" s="42" t="n">
        <v>5814</v>
      </c>
      <c r="D6" s="55" t="n">
        <f aca="false">B6*C6</f>
        <v>872.1</v>
      </c>
      <c r="E6" s="54" t="n">
        <v>0.1942</v>
      </c>
      <c r="F6" s="42" t="n">
        <v>3629</v>
      </c>
      <c r="G6" s="55" t="n">
        <f aca="false">E6*F6</f>
        <v>704.7518</v>
      </c>
      <c r="H6" s="55" t="n">
        <f aca="false">D6+G6</f>
        <v>1576.8518</v>
      </c>
    </row>
    <row r="7" customFormat="false" ht="19.5" hidden="false" customHeight="true" outlineLevel="0" collapsed="false">
      <c r="A7" s="45"/>
      <c r="B7" s="54"/>
      <c r="C7" s="47"/>
      <c r="D7" s="55" t="n">
        <f aca="false">IF(B7="",0,B7*C7)</f>
        <v>0</v>
      </c>
      <c r="E7" s="54"/>
      <c r="F7" s="47"/>
      <c r="G7" s="55" t="n">
        <f aca="false">IF(E7="",0,E7*F7)</f>
        <v>0</v>
      </c>
      <c r="H7" s="55" t="n">
        <f aca="false">IFERROR(IF(D7+G7=0,0,D7+G7),0)</f>
        <v>0</v>
      </c>
    </row>
    <row r="8" customFormat="false" ht="19.5" hidden="false" customHeight="true" outlineLevel="0" collapsed="false">
      <c r="A8" s="40"/>
      <c r="B8" s="54"/>
      <c r="C8" s="42"/>
      <c r="D8" s="55" t="n">
        <f aca="false">IF(B8="",0,B8*C8)</f>
        <v>0</v>
      </c>
      <c r="E8" s="54"/>
      <c r="F8" s="42"/>
      <c r="G8" s="55" t="n">
        <f aca="false">IF(E8="",0,E8*F8)</f>
        <v>0</v>
      </c>
      <c r="H8" s="55" t="n">
        <f aca="false">IFERROR(IF(D8+G8=0,0,D8+G8),0)</f>
        <v>0</v>
      </c>
    </row>
    <row r="9" customFormat="false" ht="19.5" hidden="false" customHeight="true" outlineLevel="0" collapsed="false">
      <c r="A9" s="45"/>
      <c r="B9" s="54"/>
      <c r="C9" s="47"/>
      <c r="D9" s="55" t="n">
        <f aca="false">IF(B9="",0,B9*C9)</f>
        <v>0</v>
      </c>
      <c r="E9" s="54"/>
      <c r="F9" s="47"/>
      <c r="G9" s="55" t="n">
        <f aca="false">IF(E9="",0,E9*F9)</f>
        <v>0</v>
      </c>
      <c r="H9" s="55" t="n">
        <f aca="false">IFERROR(IF(D9+G9=0,0,D9+G9),0)</f>
        <v>0</v>
      </c>
    </row>
    <row r="10" customFormat="false" ht="19.5" hidden="false" customHeight="true" outlineLevel="0" collapsed="false">
      <c r="A10" s="40"/>
      <c r="B10" s="54"/>
      <c r="C10" s="42"/>
      <c r="D10" s="55" t="n">
        <f aca="false">IF(B10="",0,B10*C10)</f>
        <v>0</v>
      </c>
      <c r="E10" s="54"/>
      <c r="F10" s="42"/>
      <c r="G10" s="55" t="n">
        <f aca="false">IF(E10="",0,E10*F10)</f>
        <v>0</v>
      </c>
      <c r="H10" s="55" t="n">
        <f aca="false">IFERROR(IF(D10+G10=0,0,D10+G10),0)</f>
        <v>0</v>
      </c>
    </row>
    <row r="11" customFormat="false" ht="19.5" hidden="false" customHeight="true" outlineLevel="0" collapsed="false">
      <c r="A11" s="45"/>
      <c r="B11" s="54"/>
      <c r="C11" s="47"/>
      <c r="D11" s="55" t="n">
        <f aca="false">IF(B11="",0,B11*C11)</f>
        <v>0</v>
      </c>
      <c r="E11" s="54"/>
      <c r="F11" s="47"/>
      <c r="G11" s="55" t="n">
        <f aca="false">IF(E11="",0,E11*F11)</f>
        <v>0</v>
      </c>
      <c r="H11" s="55" t="n">
        <f aca="false">IFERROR(IF(D11+G11=0,0,D11+G11),0)</f>
        <v>0</v>
      </c>
    </row>
    <row r="12" customFormat="false" ht="19.5" hidden="false" customHeight="true" outlineLevel="0" collapsed="false">
      <c r="A12" s="40"/>
      <c r="B12" s="54"/>
      <c r="C12" s="42"/>
      <c r="D12" s="55" t="n">
        <f aca="false">IF(B12="",0,B12*C12)</f>
        <v>0</v>
      </c>
      <c r="E12" s="54"/>
      <c r="F12" s="42"/>
      <c r="G12" s="55" t="n">
        <f aca="false">IF(E12="",0,E12*F12)</f>
        <v>0</v>
      </c>
      <c r="H12" s="55" t="n">
        <f aca="false">IFERROR(IF(D12+G12=0,0,D12+G12),0)</f>
        <v>0</v>
      </c>
    </row>
    <row r="13" customFormat="false" ht="19.5" hidden="false" customHeight="true" outlineLevel="0" collapsed="false">
      <c r="A13" s="45"/>
      <c r="B13" s="54"/>
      <c r="C13" s="47"/>
      <c r="D13" s="55" t="n">
        <f aca="false">IF(B13="",0,B13*C13)</f>
        <v>0</v>
      </c>
      <c r="E13" s="54"/>
      <c r="F13" s="47"/>
      <c r="G13" s="55" t="n">
        <f aca="false">IF(E13="",0,E13*F13)</f>
        <v>0</v>
      </c>
      <c r="H13" s="55" t="n">
        <f aca="false">IFERROR(IF(D13+G13=0,0,D13+G13),0)</f>
        <v>0</v>
      </c>
    </row>
    <row r="14" customFormat="false" ht="19.5" hidden="false" customHeight="true" outlineLevel="0" collapsed="false">
      <c r="A14" s="40"/>
      <c r="B14" s="54"/>
      <c r="C14" s="42"/>
      <c r="D14" s="55" t="n">
        <f aca="false">IF(B14="",0,B14*C14)</f>
        <v>0</v>
      </c>
      <c r="E14" s="54"/>
      <c r="F14" s="42"/>
      <c r="G14" s="55" t="n">
        <f aca="false">IF(E14="",0,E14*F14)</f>
        <v>0</v>
      </c>
      <c r="H14" s="55" t="n">
        <f aca="false">IFERROR(IF(D14+G14=0,0,D14+G14),0)</f>
        <v>0</v>
      </c>
    </row>
    <row r="15" customFormat="false" ht="19.5" hidden="false" customHeight="true" outlineLevel="0" collapsed="false">
      <c r="A15" s="45"/>
      <c r="B15" s="54"/>
      <c r="C15" s="47"/>
      <c r="D15" s="55" t="n">
        <f aca="false">IF(B15="",0,B15*C15)</f>
        <v>0</v>
      </c>
      <c r="E15" s="54"/>
      <c r="F15" s="47"/>
      <c r="G15" s="55" t="n">
        <f aca="false">IF(E15="",0,E15*F15)</f>
        <v>0</v>
      </c>
      <c r="H15" s="55" t="n">
        <f aca="false">IFERROR(IF(D15+G15=0,0,D15+G15),0)</f>
        <v>0</v>
      </c>
    </row>
    <row r="16" customFormat="false" ht="19.5" hidden="false" customHeight="true" outlineLevel="0" collapsed="false">
      <c r="A16" s="40"/>
      <c r="B16" s="54"/>
      <c r="C16" s="42"/>
      <c r="D16" s="55" t="n">
        <f aca="false">IF(B16="",0,B16*C16)</f>
        <v>0</v>
      </c>
      <c r="E16" s="54"/>
      <c r="F16" s="42"/>
      <c r="G16" s="55" t="n">
        <f aca="false">IF(E16="",0,E16*F16)</f>
        <v>0</v>
      </c>
      <c r="H16" s="55" t="n">
        <f aca="false">IFERROR(IF(D16+G16=0,0,D16+G16),0)</f>
        <v>0</v>
      </c>
    </row>
    <row r="17" customFormat="false" ht="19.5" hidden="false" customHeight="true" outlineLevel="0" collapsed="false">
      <c r="A17" s="45"/>
      <c r="B17" s="54"/>
      <c r="C17" s="47"/>
      <c r="D17" s="55" t="n">
        <f aca="false">IF(B17="",0,B17*C17)</f>
        <v>0</v>
      </c>
      <c r="E17" s="54"/>
      <c r="F17" s="47"/>
      <c r="G17" s="55" t="n">
        <f aca="false">IF(E17="",0,E17*F17)</f>
        <v>0</v>
      </c>
      <c r="H17" s="55" t="n">
        <f aca="false">IFERROR(IF(D17+G17=0,0,D17+G17),0)</f>
        <v>0</v>
      </c>
    </row>
    <row r="18" customFormat="false" ht="19.5" hidden="false" customHeight="true" outlineLevel="0" collapsed="false">
      <c r="A18" s="40"/>
      <c r="B18" s="54"/>
      <c r="C18" s="42"/>
      <c r="D18" s="55" t="n">
        <f aca="false">IF(B18="",0,B18*C18)</f>
        <v>0</v>
      </c>
      <c r="E18" s="54"/>
      <c r="F18" s="42"/>
      <c r="G18" s="55" t="n">
        <f aca="false">IF(E18="",0,E18*F18)</f>
        <v>0</v>
      </c>
      <c r="H18" s="55" t="n">
        <f aca="false">IFERROR(IF(D18+G18=0,0,D18+G18),0)</f>
        <v>0</v>
      </c>
    </row>
    <row r="19" customFormat="false" ht="19.5" hidden="false" customHeight="true" outlineLevel="0" collapsed="false">
      <c r="A19" s="45"/>
      <c r="B19" s="54"/>
      <c r="C19" s="47"/>
      <c r="D19" s="55" t="n">
        <f aca="false">IF(B19="",0,B19*C19)</f>
        <v>0</v>
      </c>
      <c r="E19" s="54"/>
      <c r="F19" s="47"/>
      <c r="G19" s="55" t="n">
        <f aca="false">IF(E19="",0,E19*F19)</f>
        <v>0</v>
      </c>
      <c r="H19" s="55" t="n">
        <f aca="false">IFERROR(IF(D19+G19=0,0,D19+G19),0)</f>
        <v>0</v>
      </c>
    </row>
    <row r="20" customFormat="false" ht="19.5" hidden="false" customHeight="true" outlineLevel="0" collapsed="false">
      <c r="A20" s="40"/>
      <c r="B20" s="54"/>
      <c r="C20" s="42"/>
      <c r="D20" s="55" t="n">
        <f aca="false">IF(B20="",0,B20*C20)</f>
        <v>0</v>
      </c>
      <c r="E20" s="54"/>
      <c r="F20" s="42"/>
      <c r="G20" s="55" t="n">
        <f aca="false">IF(E20="",0,E20*F20)</f>
        <v>0</v>
      </c>
      <c r="H20" s="55" t="n">
        <f aca="false">IFERROR(IF(D20+G20=0,0,D20+G20),0)</f>
        <v>0</v>
      </c>
    </row>
    <row r="21" customFormat="false" ht="19.5" hidden="false" customHeight="true" outlineLevel="0" collapsed="false">
      <c r="A21" s="45"/>
      <c r="B21" s="54"/>
      <c r="C21" s="47"/>
      <c r="D21" s="55" t="n">
        <f aca="false">IF(B21="",0,B21*C21)</f>
        <v>0</v>
      </c>
      <c r="E21" s="54"/>
      <c r="F21" s="47"/>
      <c r="G21" s="55" t="n">
        <f aca="false">IF(E21="",0,E21*F21)</f>
        <v>0</v>
      </c>
      <c r="H21" s="55" t="n">
        <f aca="false">IFERROR(IF(D21+G21=0,0,D21+G21),0)</f>
        <v>0</v>
      </c>
    </row>
    <row r="22" customFormat="false" ht="19.5" hidden="false" customHeight="true" outlineLevel="0" collapsed="false">
      <c r="A22" s="40"/>
      <c r="B22" s="54"/>
      <c r="C22" s="42"/>
      <c r="D22" s="55" t="n">
        <f aca="false">IF(B22="",0,B22*C22)</f>
        <v>0</v>
      </c>
      <c r="E22" s="54"/>
      <c r="F22" s="42"/>
      <c r="G22" s="55" t="n">
        <f aca="false">IF(E22="",0,E22*F22)</f>
        <v>0</v>
      </c>
      <c r="H22" s="55" t="n">
        <f aca="false">IFERROR(IF(D22+G22=0,0,D22+G22),0)</f>
        <v>0</v>
      </c>
    </row>
    <row r="23" customFormat="false" ht="19.5" hidden="false" customHeight="true" outlineLevel="0" collapsed="false">
      <c r="A23" s="45"/>
      <c r="B23" s="54"/>
      <c r="C23" s="47"/>
      <c r="D23" s="55" t="n">
        <f aca="false">IF(B23="",0,B23*C23)</f>
        <v>0</v>
      </c>
      <c r="E23" s="54"/>
      <c r="F23" s="47"/>
      <c r="G23" s="55" t="n">
        <f aca="false">IF(E23="",0,E23*F23)</f>
        <v>0</v>
      </c>
      <c r="H23" s="55" t="n">
        <f aca="false">IFERROR(IF(D23+G23=0,0,D23+G23),0)</f>
        <v>0</v>
      </c>
    </row>
    <row r="24" customFormat="false" ht="19.5" hidden="false" customHeight="true" outlineLevel="0" collapsed="false">
      <c r="A24" s="40"/>
      <c r="B24" s="54"/>
      <c r="C24" s="42"/>
      <c r="D24" s="55" t="n">
        <f aca="false">IF(B24="",0,B24*C24)</f>
        <v>0</v>
      </c>
      <c r="E24" s="54"/>
      <c r="F24" s="42"/>
      <c r="G24" s="55" t="n">
        <f aca="false">IF(E24="",0,E24*F24)</f>
        <v>0</v>
      </c>
      <c r="H24" s="55" t="n">
        <f aca="false">IFERROR(IF(D24+G24=0,0,D24+G24),0)</f>
        <v>0</v>
      </c>
    </row>
    <row r="25" customFormat="false" ht="19.5" hidden="false" customHeight="true" outlineLevel="0" collapsed="false">
      <c r="A25" s="45"/>
      <c r="B25" s="54"/>
      <c r="C25" s="47"/>
      <c r="D25" s="55" t="n">
        <f aca="false">IF(B25="",0,B25*C25)</f>
        <v>0</v>
      </c>
      <c r="E25" s="54"/>
      <c r="F25" s="47"/>
      <c r="G25" s="55" t="n">
        <f aca="false">IF(E25="",0,E25*F25)</f>
        <v>0</v>
      </c>
      <c r="H25" s="55" t="n">
        <f aca="false">IFERROR(IF(D25+G25=0,0,D25+G25),0)</f>
        <v>0</v>
      </c>
    </row>
    <row r="26" customFormat="false" ht="19.5" hidden="false" customHeight="true" outlineLevel="0" collapsed="false">
      <c r="A26" s="40"/>
      <c r="B26" s="54"/>
      <c r="C26" s="42"/>
      <c r="D26" s="55" t="n">
        <f aca="false">IF(B26="",0,B26*C26)</f>
        <v>0</v>
      </c>
      <c r="E26" s="54"/>
      <c r="F26" s="42"/>
      <c r="G26" s="55" t="n">
        <f aca="false">IF(E26="",0,E26*F26)</f>
        <v>0</v>
      </c>
      <c r="H26" s="55" t="n">
        <f aca="false">IFERROR(IF(D26+G26=0,0,D26+G26),0)</f>
        <v>0</v>
      </c>
    </row>
    <row r="27" customFormat="false" ht="19.5" hidden="false" customHeight="true" outlineLevel="0" collapsed="false">
      <c r="A27" s="45"/>
      <c r="B27" s="54"/>
      <c r="C27" s="47"/>
      <c r="D27" s="55" t="n">
        <f aca="false">IF(B27="",0,B27*C27)</f>
        <v>0</v>
      </c>
      <c r="E27" s="54"/>
      <c r="F27" s="47"/>
      <c r="G27" s="55" t="n">
        <f aca="false">IF(E27="",0,E27*F27)</f>
        <v>0</v>
      </c>
      <c r="H27" s="55" t="n">
        <f aca="false">IFERROR(IF(D27+G27=0,0,D27+G27),0)</f>
        <v>0</v>
      </c>
    </row>
    <row r="28" customFormat="false" ht="19.5" hidden="false" customHeight="true" outlineLevel="0" collapsed="false">
      <c r="A28" s="40"/>
      <c r="B28" s="54"/>
      <c r="C28" s="42"/>
      <c r="D28" s="55" t="n">
        <f aca="false">IF(B28="",0,B28*C28)</f>
        <v>0</v>
      </c>
      <c r="E28" s="54"/>
      <c r="F28" s="42"/>
      <c r="G28" s="55" t="n">
        <f aca="false">IF(E28="",0,E28*F28)</f>
        <v>0</v>
      </c>
      <c r="H28" s="55" t="n">
        <f aca="false">IFERROR(IF(D28+G28=0,0,D28+G28),0)</f>
        <v>0</v>
      </c>
    </row>
    <row r="29" customFormat="false" ht="19.5" hidden="false" customHeight="true" outlineLevel="0" collapsed="false">
      <c r="A29" s="45"/>
      <c r="B29" s="54"/>
      <c r="C29" s="47"/>
      <c r="D29" s="55" t="n">
        <f aca="false">IF(B29="",0,B29*C29)</f>
        <v>0</v>
      </c>
      <c r="E29" s="54"/>
      <c r="F29" s="47"/>
      <c r="G29" s="55" t="n">
        <f aca="false">IF(E29="",0,E29*F29)</f>
        <v>0</v>
      </c>
      <c r="H29" s="55" t="n">
        <f aca="false">IFERROR(IF(D29+G29=0,0,D29+G29),0)</f>
        <v>0</v>
      </c>
    </row>
    <row r="30" customFormat="false" ht="19.5" hidden="false" customHeight="true" outlineLevel="0" collapsed="false">
      <c r="A30" s="40"/>
      <c r="B30" s="54"/>
      <c r="C30" s="42"/>
      <c r="D30" s="55" t="n">
        <f aca="false">IF(B30="",0,B30*C30)</f>
        <v>0</v>
      </c>
      <c r="E30" s="54"/>
      <c r="F30" s="42"/>
      <c r="G30" s="55" t="n">
        <f aca="false">IF(E30="",0,E30*F30)</f>
        <v>0</v>
      </c>
      <c r="H30" s="55" t="n">
        <f aca="false">IFERROR(IF(D30+G30=0,0,D30+G30),0)</f>
        <v>0</v>
      </c>
    </row>
    <row r="31" customFormat="false" ht="19.5" hidden="false" customHeight="true" outlineLevel="0" collapsed="false">
      <c r="A31" s="45"/>
      <c r="B31" s="54"/>
      <c r="C31" s="47"/>
      <c r="D31" s="55" t="n">
        <f aca="false">IF(B31="",0,B31*C31)</f>
        <v>0</v>
      </c>
      <c r="E31" s="54"/>
      <c r="F31" s="47"/>
      <c r="G31" s="55" t="n">
        <f aca="false">IF(E31="",0,E31*F31)</f>
        <v>0</v>
      </c>
      <c r="H31" s="55" t="n">
        <f aca="false">IFERROR(IF(D31+G31=0,0,D31+G31),0)</f>
        <v>0</v>
      </c>
    </row>
    <row r="32" customFormat="false" ht="19.5" hidden="false" customHeight="true" outlineLevel="0" collapsed="false">
      <c r="A32" s="40"/>
      <c r="B32" s="54"/>
      <c r="C32" s="42"/>
      <c r="D32" s="55" t="n">
        <f aca="false">IF(B32="",0,B32*C32)</f>
        <v>0</v>
      </c>
      <c r="E32" s="54"/>
      <c r="F32" s="42"/>
      <c r="G32" s="55" t="n">
        <f aca="false">IF(E32="",0,E32*F32)</f>
        <v>0</v>
      </c>
      <c r="H32" s="55" t="n">
        <f aca="false">IFERROR(IF(D32+G32=0,0,D32+G32),0)</f>
        <v>0</v>
      </c>
    </row>
    <row r="33" customFormat="false" ht="19.5" hidden="false" customHeight="true" outlineLevel="0" collapsed="false">
      <c r="A33" s="45"/>
      <c r="B33" s="54"/>
      <c r="C33" s="47"/>
      <c r="D33" s="55" t="n">
        <f aca="false">IF(B33="",0,B33*C33)</f>
        <v>0</v>
      </c>
      <c r="E33" s="54"/>
      <c r="F33" s="47"/>
      <c r="G33" s="55" t="n">
        <f aca="false">IF(E33="",0,E33*F33)</f>
        <v>0</v>
      </c>
      <c r="H33" s="55" t="n">
        <f aca="false">IFERROR(IF(D33+G33=0,0,D33+G33),0)</f>
        <v>0</v>
      </c>
    </row>
    <row r="34" customFormat="false" ht="19.5" hidden="false" customHeight="true" outlineLevel="0" collapsed="false">
      <c r="A34" s="40"/>
      <c r="B34" s="54"/>
      <c r="C34" s="42"/>
      <c r="D34" s="55" t="n">
        <f aca="false">IF(B34="",0,B34*C34)</f>
        <v>0</v>
      </c>
      <c r="E34" s="54"/>
      <c r="F34" s="42"/>
      <c r="G34" s="55" t="n">
        <f aca="false">IF(E34="",0,E34*F34)</f>
        <v>0</v>
      </c>
      <c r="H34" s="55" t="n">
        <f aca="false">IFERROR(IF(D34+G34=0,0,D34+G34),0)</f>
        <v>0</v>
      </c>
    </row>
    <row r="35" customFormat="false" ht="19.5" hidden="false" customHeight="true" outlineLevel="0" collapsed="false">
      <c r="A35" s="45"/>
      <c r="B35" s="54"/>
      <c r="C35" s="47"/>
      <c r="D35" s="55" t="n">
        <f aca="false">IF(B35="",0,B35*C35)</f>
        <v>0</v>
      </c>
      <c r="E35" s="54"/>
      <c r="F35" s="47"/>
      <c r="G35" s="55" t="n">
        <f aca="false">IF(E35="",0,E35*F35)</f>
        <v>0</v>
      </c>
      <c r="H35" s="55" t="n">
        <f aca="false">IFERROR(IF(D35+G35=0,0,D35+G35),0)</f>
        <v>0</v>
      </c>
    </row>
    <row r="36" customFormat="false" ht="19.5" hidden="false" customHeight="true" outlineLevel="0" collapsed="false">
      <c r="A36" s="40"/>
      <c r="B36" s="54"/>
      <c r="C36" s="42"/>
      <c r="D36" s="55" t="n">
        <f aca="false">IF(B36="",0,B36*C36)</f>
        <v>0</v>
      </c>
      <c r="E36" s="54"/>
      <c r="F36" s="42"/>
      <c r="G36" s="55" t="n">
        <f aca="false">IF(E36="",0,E36*F36)</f>
        <v>0</v>
      </c>
      <c r="H36" s="55" t="n">
        <f aca="false">IFERROR(IF(D36+G36=0,0,D36+G36),0)</f>
        <v>0</v>
      </c>
    </row>
    <row r="37" customFormat="false" ht="19.5" hidden="false" customHeight="true" outlineLevel="0" collapsed="false">
      <c r="A37" s="45"/>
      <c r="B37" s="54"/>
      <c r="C37" s="47"/>
      <c r="D37" s="55" t="n">
        <f aca="false">IF(B37="",0,B37*C37)</f>
        <v>0</v>
      </c>
      <c r="E37" s="54"/>
      <c r="F37" s="47"/>
      <c r="G37" s="55" t="n">
        <f aca="false">IF(E37="",0,E37*F37)</f>
        <v>0</v>
      </c>
      <c r="H37" s="55" t="n">
        <f aca="false">IFERROR(IF(D37+G37=0,0,D37+G37),0)</f>
        <v>0</v>
      </c>
    </row>
    <row r="38" customFormat="false" ht="19.5" hidden="false" customHeight="true" outlineLevel="0" collapsed="false">
      <c r="A38" s="40"/>
      <c r="B38" s="54"/>
      <c r="C38" s="42"/>
      <c r="D38" s="55" t="n">
        <f aca="false">IF(B38="",0,B38*C38)</f>
        <v>0</v>
      </c>
      <c r="E38" s="54"/>
      <c r="F38" s="42"/>
      <c r="G38" s="55" t="n">
        <f aca="false">IF(E38="",0,E38*F38)</f>
        <v>0</v>
      </c>
      <c r="H38" s="55" t="n">
        <f aca="false">IFERROR(IF(D38+G38=0,0,D38+G38),0)</f>
        <v>0</v>
      </c>
    </row>
    <row r="39" customFormat="false" ht="19.5" hidden="false" customHeight="true" outlineLevel="0" collapsed="false">
      <c r="A39" s="45"/>
      <c r="B39" s="54"/>
      <c r="C39" s="47"/>
      <c r="D39" s="55" t="n">
        <f aca="false">IF(B39="",0,B39*C39)</f>
        <v>0</v>
      </c>
      <c r="E39" s="54"/>
      <c r="F39" s="47"/>
      <c r="G39" s="55" t="n">
        <f aca="false">IF(E39="",0,E39*F39)</f>
        <v>0</v>
      </c>
      <c r="H39" s="55" t="n">
        <f aca="false">IFERROR(IF(D39+G39=0,0,D39+G39),0)</f>
        <v>0</v>
      </c>
    </row>
    <row r="40" customFormat="false" ht="19.5" hidden="false" customHeight="true" outlineLevel="0" collapsed="false">
      <c r="A40" s="40"/>
      <c r="B40" s="54"/>
      <c r="C40" s="42"/>
      <c r="D40" s="55" t="n">
        <f aca="false">IF(B40="",0,B40*C40)</f>
        <v>0</v>
      </c>
      <c r="E40" s="54"/>
      <c r="F40" s="42"/>
      <c r="G40" s="55" t="n">
        <f aca="false">IF(E40="",0,E40*F40)</f>
        <v>0</v>
      </c>
      <c r="H40" s="55" t="n">
        <f aca="false">IFERROR(IF(D40+G40=0,0,D40+G40),0)</f>
        <v>0</v>
      </c>
    </row>
    <row r="41" customFormat="false" ht="19.5" hidden="false" customHeight="true" outlineLevel="0" collapsed="false">
      <c r="A41" s="45"/>
      <c r="B41" s="54"/>
      <c r="C41" s="47"/>
      <c r="D41" s="55" t="n">
        <f aca="false">IF(B41="",0,B41*C41)</f>
        <v>0</v>
      </c>
      <c r="E41" s="54"/>
      <c r="F41" s="47"/>
      <c r="G41" s="55" t="n">
        <f aca="false">IF(E41="",0,E41*F41)</f>
        <v>0</v>
      </c>
      <c r="H41" s="55" t="n">
        <f aca="false">IFERROR(IF(D41+G41=0,0,D41+G41),0)</f>
        <v>0</v>
      </c>
    </row>
    <row r="42" customFormat="false" ht="19.5" hidden="false" customHeight="true" outlineLevel="0" collapsed="false">
      <c r="A42" s="40"/>
      <c r="B42" s="54"/>
      <c r="C42" s="42"/>
      <c r="D42" s="55" t="n">
        <f aca="false">IF(B42="",0,B42*C42)</f>
        <v>0</v>
      </c>
      <c r="E42" s="54"/>
      <c r="F42" s="42"/>
      <c r="G42" s="55" t="n">
        <f aca="false">IF(E42="",0,E42*F42)</f>
        <v>0</v>
      </c>
      <c r="H42" s="55" t="n">
        <f aca="false">IFERROR(IF(D42+G42=0,0,D42+G42),0)</f>
        <v>0</v>
      </c>
    </row>
    <row r="43" customFormat="false" ht="19.5" hidden="false" customHeight="true" outlineLevel="0" collapsed="false">
      <c r="A43" s="45"/>
      <c r="B43" s="54"/>
      <c r="C43" s="47"/>
      <c r="D43" s="55" t="n">
        <f aca="false">IF(B43="",0,B43*C43)</f>
        <v>0</v>
      </c>
      <c r="E43" s="54"/>
      <c r="F43" s="47"/>
      <c r="G43" s="55" t="n">
        <f aca="false">IF(E43="",0,E43*F43)</f>
        <v>0</v>
      </c>
      <c r="H43" s="55" t="n">
        <f aca="false">IFERROR(IF(D43+G43=0,0,D43+G43),0)</f>
        <v>0</v>
      </c>
    </row>
    <row r="44" customFormat="false" ht="19.5" hidden="false" customHeight="true" outlineLevel="0" collapsed="false">
      <c r="A44" s="40"/>
      <c r="B44" s="54"/>
      <c r="C44" s="42"/>
      <c r="D44" s="55" t="n">
        <f aca="false">IF(B44="",0,B44*C44)</f>
        <v>0</v>
      </c>
      <c r="E44" s="54"/>
      <c r="F44" s="42"/>
      <c r="G44" s="55" t="n">
        <f aca="false">IF(E44="",0,E44*F44)</f>
        <v>0</v>
      </c>
      <c r="H44" s="55" t="n">
        <f aca="false">IFERROR(IF(D44+G44=0,0,D44+G44),0)</f>
        <v>0</v>
      </c>
    </row>
    <row r="45" customFormat="false" ht="19.5" hidden="false" customHeight="true" outlineLevel="0" collapsed="false">
      <c r="A45" s="45"/>
      <c r="B45" s="54"/>
      <c r="C45" s="47"/>
      <c r="D45" s="55" t="n">
        <f aca="false">IF(B45="",0,B45*C45)</f>
        <v>0</v>
      </c>
      <c r="E45" s="54"/>
      <c r="F45" s="47"/>
      <c r="G45" s="55" t="n">
        <f aca="false">IF(E45="",0,E45*F45)</f>
        <v>0</v>
      </c>
      <c r="H45" s="55" t="n">
        <f aca="false">IFERROR(IF(D45+G45=0,0,D45+G45),0)</f>
        <v>0</v>
      </c>
    </row>
    <row r="46" customFormat="false" ht="19.5" hidden="false" customHeight="true" outlineLevel="0" collapsed="false">
      <c r="A46" s="40"/>
      <c r="B46" s="54"/>
      <c r="C46" s="42"/>
      <c r="D46" s="55" t="n">
        <f aca="false">IF(B46="",0,B46*C46)</f>
        <v>0</v>
      </c>
      <c r="E46" s="54"/>
      <c r="F46" s="42"/>
      <c r="G46" s="55" t="n">
        <f aca="false">IF(E46="",0,E46*F46)</f>
        <v>0</v>
      </c>
      <c r="H46" s="55" t="n">
        <f aca="false">IFERROR(IF(D46+G46=0,0,D46+G46),0)</f>
        <v>0</v>
      </c>
    </row>
    <row r="47" customFormat="false" ht="19.5" hidden="false" customHeight="true" outlineLevel="0" collapsed="false">
      <c r="A47" s="45"/>
      <c r="B47" s="54"/>
      <c r="C47" s="47"/>
      <c r="D47" s="55" t="n">
        <f aca="false">IF(B47="",0,B47*C47)</f>
        <v>0</v>
      </c>
      <c r="E47" s="54"/>
      <c r="F47" s="47"/>
      <c r="G47" s="55" t="n">
        <f aca="false">IF(E47="",0,E47*F47)</f>
        <v>0</v>
      </c>
      <c r="H47" s="55" t="n">
        <f aca="false">IFERROR(IF(D47+G47=0,0,D47+G47),0)</f>
        <v>0</v>
      </c>
    </row>
    <row r="48" customFormat="false" ht="19.5" hidden="false" customHeight="true" outlineLevel="0" collapsed="false">
      <c r="A48" s="40"/>
      <c r="B48" s="54"/>
      <c r="C48" s="42"/>
      <c r="D48" s="55" t="n">
        <f aca="false">IF(B48="",0,B48*C48)</f>
        <v>0</v>
      </c>
      <c r="E48" s="54"/>
      <c r="F48" s="42"/>
      <c r="G48" s="55" t="n">
        <f aca="false">IF(E48="",0,E48*F48)</f>
        <v>0</v>
      </c>
      <c r="H48" s="55" t="n">
        <f aca="false">IFERROR(IF(D48+G48=0,0,D48+G48),0)</f>
        <v>0</v>
      </c>
    </row>
    <row r="49" customFormat="false" ht="19.5" hidden="false" customHeight="true" outlineLevel="0" collapsed="false">
      <c r="A49" s="45"/>
      <c r="B49" s="54"/>
      <c r="C49" s="47"/>
      <c r="D49" s="55" t="n">
        <f aca="false">IF(B49="",0,B49*C49)</f>
        <v>0</v>
      </c>
      <c r="E49" s="54"/>
      <c r="F49" s="47"/>
      <c r="G49" s="55" t="n">
        <f aca="false">IF(E49="",0,E49*F49)</f>
        <v>0</v>
      </c>
      <c r="H49" s="55" t="n">
        <f aca="false">IFERROR(IF(D49+G49=0,0,D49+G49),0)</f>
        <v>0</v>
      </c>
    </row>
    <row r="50" customFormat="false" ht="19.5" hidden="false" customHeight="true" outlineLevel="0" collapsed="false">
      <c r="A50" s="40"/>
      <c r="B50" s="54"/>
      <c r="C50" s="42"/>
      <c r="D50" s="55" t="n">
        <f aca="false">IF(B50="",0,B50*C50)</f>
        <v>0</v>
      </c>
      <c r="E50" s="54"/>
      <c r="F50" s="42"/>
      <c r="G50" s="55" t="n">
        <f aca="false">IF(E50="",0,E50*F50)</f>
        <v>0</v>
      </c>
      <c r="H50" s="55" t="n">
        <f aca="false">IFERROR(IF(D50+G50=0,0,D50+G50),0)</f>
        <v>0</v>
      </c>
    </row>
    <row r="51" customFormat="false" ht="19.5" hidden="false" customHeight="true" outlineLevel="0" collapsed="false">
      <c r="A51" s="45"/>
      <c r="B51" s="54"/>
      <c r="C51" s="47"/>
      <c r="D51" s="55" t="n">
        <f aca="false">IF(B51="",0,B51*C51)</f>
        <v>0</v>
      </c>
      <c r="E51" s="54"/>
      <c r="F51" s="47"/>
      <c r="G51" s="55" t="n">
        <f aca="false">IF(E51="",0,E51*F51)</f>
        <v>0</v>
      </c>
      <c r="H51" s="55" t="n">
        <f aca="false">IFERROR(IF(D51+G51=0,0,D51+G51),0)</f>
        <v>0</v>
      </c>
    </row>
    <row r="52" customFormat="false" ht="19.5" hidden="false" customHeight="true" outlineLevel="0" collapsed="false">
      <c r="A52" s="40"/>
      <c r="B52" s="54"/>
      <c r="C52" s="42"/>
      <c r="D52" s="55" t="n">
        <f aca="false">IF(B52="",0,B52*C52)</f>
        <v>0</v>
      </c>
      <c r="E52" s="54"/>
      <c r="F52" s="42"/>
      <c r="G52" s="55" t="n">
        <f aca="false">IF(E52="",0,E52*F52)</f>
        <v>0</v>
      </c>
      <c r="H52" s="55" t="n">
        <f aca="false">IFERROR(IF(D52+G52=0,0,D52+G52),0)</f>
        <v>0</v>
      </c>
    </row>
    <row r="53" customFormat="false" ht="19.5" hidden="false" customHeight="true" outlineLevel="0" collapsed="false">
      <c r="A53" s="45"/>
      <c r="B53" s="54"/>
      <c r="C53" s="47"/>
      <c r="D53" s="55" t="n">
        <f aca="false">IF(B53="",0,B53*C53)</f>
        <v>0</v>
      </c>
      <c r="E53" s="54"/>
      <c r="F53" s="47"/>
      <c r="G53" s="55" t="n">
        <f aca="false">IF(E53="",0,E53*F53)</f>
        <v>0</v>
      </c>
      <c r="H53" s="55" t="n">
        <f aca="false">IFERROR(IF(D53+G53=0,0,D53+G53),0)</f>
        <v>0</v>
      </c>
    </row>
    <row r="54" customFormat="false" ht="19.5" hidden="false" customHeight="true" outlineLevel="0" collapsed="false">
      <c r="A54" s="40"/>
      <c r="B54" s="54"/>
      <c r="C54" s="42"/>
      <c r="D54" s="55" t="n">
        <f aca="false">IF(B54="",0,B54*C54)</f>
        <v>0</v>
      </c>
      <c r="E54" s="54"/>
      <c r="F54" s="42"/>
      <c r="G54" s="55" t="n">
        <f aca="false">IF(E54="",0,E54*F54)</f>
        <v>0</v>
      </c>
      <c r="H54" s="55" t="n">
        <f aca="false">IFERROR(IF(D54+G54=0,0,D54+G54),0)</f>
        <v>0</v>
      </c>
    </row>
    <row r="55" customFormat="false" ht="19.5" hidden="false" customHeight="true" outlineLevel="0" collapsed="false">
      <c r="A55" s="45"/>
      <c r="B55" s="54"/>
      <c r="C55" s="47"/>
      <c r="D55" s="55" t="n">
        <f aca="false">IF(B55="",0,B55*C55)</f>
        <v>0</v>
      </c>
      <c r="E55" s="54"/>
      <c r="F55" s="47"/>
      <c r="G55" s="55" t="n">
        <f aca="false">IF(E55="",0,E55*F55)</f>
        <v>0</v>
      </c>
      <c r="H55" s="55" t="n">
        <f aca="false">IFERROR(IF(D55+G55=0,0,D55+G55),0)</f>
        <v>0</v>
      </c>
    </row>
    <row r="56" customFormat="false" ht="19.5" hidden="false" customHeight="true" outlineLevel="0" collapsed="false">
      <c r="A56" s="40"/>
      <c r="B56" s="54"/>
      <c r="C56" s="42"/>
      <c r="D56" s="55" t="n">
        <f aca="false">IF(B56="",0,B56*C56)</f>
        <v>0</v>
      </c>
      <c r="E56" s="54"/>
      <c r="F56" s="42"/>
      <c r="G56" s="55" t="n">
        <f aca="false">IF(E56="",0,E56*F56)</f>
        <v>0</v>
      </c>
      <c r="H56" s="55" t="n">
        <f aca="false">IFERROR(IF(D56+G56=0,0,D56+G56),0)</f>
        <v>0</v>
      </c>
    </row>
    <row r="57" customFormat="false" ht="19.5" hidden="false" customHeight="true" outlineLevel="0" collapsed="false">
      <c r="A57" s="45"/>
      <c r="B57" s="54"/>
      <c r="C57" s="47"/>
      <c r="D57" s="55" t="n">
        <f aca="false">IF(B57="",0,B57*C57)</f>
        <v>0</v>
      </c>
      <c r="E57" s="54"/>
      <c r="F57" s="47"/>
      <c r="G57" s="55" t="n">
        <f aca="false">IF(E57="",0,E57*F57)</f>
        <v>0</v>
      </c>
      <c r="H57" s="55" t="n">
        <f aca="false">IFERROR(IF(D57+G57=0,0,D57+G57),0)</f>
        <v>0</v>
      </c>
    </row>
    <row r="58" customFormat="false" ht="19.5" hidden="false" customHeight="true" outlineLevel="0" collapsed="false">
      <c r="A58" s="40"/>
      <c r="B58" s="54"/>
      <c r="C58" s="42"/>
      <c r="D58" s="55" t="n">
        <f aca="false">IF(B58="",0,B58*C58)</f>
        <v>0</v>
      </c>
      <c r="E58" s="54"/>
      <c r="F58" s="42"/>
      <c r="G58" s="55" t="n">
        <f aca="false">IF(E58="",0,E58*F58)</f>
        <v>0</v>
      </c>
      <c r="H58" s="55" t="n">
        <f aca="false">IFERROR(IF(D58+G58=0,0,D58+G58),0)</f>
        <v>0</v>
      </c>
    </row>
    <row r="59" customFormat="false" ht="19.5" hidden="false" customHeight="true" outlineLevel="0" collapsed="false">
      <c r="A59" s="45"/>
      <c r="B59" s="54"/>
      <c r="C59" s="47"/>
      <c r="D59" s="55" t="n">
        <f aca="false">IF(B59="",0,B59*C59)</f>
        <v>0</v>
      </c>
      <c r="E59" s="54"/>
      <c r="F59" s="47"/>
      <c r="G59" s="55" t="n">
        <f aca="false">IF(E59="",0,E59*F59)</f>
        <v>0</v>
      </c>
      <c r="H59" s="55" t="n">
        <f aca="false">IFERROR(IF(D59+G59=0,0,D59+G59),0)</f>
        <v>0</v>
      </c>
    </row>
    <row r="60" customFormat="false" ht="19.5" hidden="false" customHeight="true" outlineLevel="0" collapsed="false">
      <c r="A60" s="40"/>
      <c r="B60" s="54"/>
      <c r="C60" s="42"/>
      <c r="D60" s="55" t="n">
        <f aca="false">IF(B60="",0,B60*C60)</f>
        <v>0</v>
      </c>
      <c r="E60" s="54"/>
      <c r="F60" s="42"/>
      <c r="G60" s="55" t="n">
        <f aca="false">IF(E60="",0,E60*F60)</f>
        <v>0</v>
      </c>
      <c r="H60" s="55" t="n">
        <f aca="false">IFERROR(IF(D60+G60=0,0,D60+G60),0)</f>
        <v>0</v>
      </c>
    </row>
    <row r="61" customFormat="false" ht="19.5" hidden="false" customHeight="true" outlineLevel="0" collapsed="false">
      <c r="A61" s="45"/>
      <c r="B61" s="54"/>
      <c r="C61" s="47"/>
      <c r="D61" s="55" t="n">
        <f aca="false">IF(B61="",0,B61*C61)</f>
        <v>0</v>
      </c>
      <c r="E61" s="54"/>
      <c r="F61" s="47"/>
      <c r="G61" s="55" t="n">
        <f aca="false">IF(E61="",0,E61*F61)</f>
        <v>0</v>
      </c>
      <c r="H61" s="55" t="n">
        <f aca="false">IFERROR(IF(D61+G61=0,0,D61+G61),0)</f>
        <v>0</v>
      </c>
    </row>
    <row r="62" customFormat="false" ht="19.5" hidden="false" customHeight="true" outlineLevel="0" collapsed="false">
      <c r="A62" s="40"/>
      <c r="B62" s="54"/>
      <c r="C62" s="42"/>
      <c r="D62" s="55" t="n">
        <f aca="false">IF(B62="",0,B62*C62)</f>
        <v>0</v>
      </c>
      <c r="E62" s="54"/>
      <c r="F62" s="42"/>
      <c r="G62" s="55" t="n">
        <f aca="false">IF(E62="",0,E62*F62)</f>
        <v>0</v>
      </c>
      <c r="H62" s="55" t="n">
        <f aca="false">IFERROR(IF(D62+G62=0,0,D62+G62),0)</f>
        <v>0</v>
      </c>
    </row>
    <row r="63" customFormat="false" ht="19.5" hidden="false" customHeight="true" outlineLevel="0" collapsed="false">
      <c r="A63" s="45"/>
      <c r="B63" s="54"/>
      <c r="C63" s="47"/>
      <c r="D63" s="55" t="n">
        <f aca="false">IF(B63="",0,B63*C63)</f>
        <v>0</v>
      </c>
      <c r="E63" s="54"/>
      <c r="F63" s="47"/>
      <c r="G63" s="55" t="n">
        <f aca="false">IF(E63="",0,E63*F63)</f>
        <v>0</v>
      </c>
      <c r="H63" s="55" t="n">
        <f aca="false">IFERROR(IF(D63+G63=0,0,D63+G63),0)</f>
        <v>0</v>
      </c>
    </row>
    <row r="64" customFormat="false" ht="19.5" hidden="false" customHeight="true" outlineLevel="0" collapsed="false">
      <c r="A64" s="40"/>
      <c r="B64" s="54"/>
      <c r="C64" s="42"/>
      <c r="D64" s="55" t="n">
        <f aca="false">IF(B64="",0,B64*C64)</f>
        <v>0</v>
      </c>
      <c r="E64" s="54"/>
      <c r="F64" s="42"/>
      <c r="G64" s="55" t="n">
        <f aca="false">IF(E64="",0,E64*F64)</f>
        <v>0</v>
      </c>
      <c r="H64" s="55" t="n">
        <f aca="false">IFERROR(IF(D64+G64=0,0,D64+G64),0)</f>
        <v>0</v>
      </c>
    </row>
    <row r="65" customFormat="false" ht="19.5" hidden="false" customHeight="true" outlineLevel="0" collapsed="false">
      <c r="A65" s="45"/>
      <c r="B65" s="54"/>
      <c r="C65" s="47"/>
      <c r="D65" s="55" t="n">
        <f aca="false">IF(B65="",0,B65*C65)</f>
        <v>0</v>
      </c>
      <c r="E65" s="54"/>
      <c r="F65" s="47"/>
      <c r="G65" s="55" t="n">
        <f aca="false">IF(E65="",0,E65*F65)</f>
        <v>0</v>
      </c>
      <c r="H65" s="55" t="n">
        <f aca="false">IFERROR(IF(D65+G65=0,0,D65+G65),0)</f>
        <v>0</v>
      </c>
    </row>
    <row r="66" customFormat="false" ht="19.5" hidden="false" customHeight="true" outlineLevel="0" collapsed="false">
      <c r="A66" s="40"/>
      <c r="B66" s="54"/>
      <c r="C66" s="42"/>
      <c r="D66" s="55" t="n">
        <f aca="false">IF(B66="",0,B66*C66)</f>
        <v>0</v>
      </c>
      <c r="E66" s="54"/>
      <c r="F66" s="42"/>
      <c r="G66" s="55" t="n">
        <f aca="false">IF(E66="",0,E66*F66)</f>
        <v>0</v>
      </c>
      <c r="H66" s="55" t="n">
        <f aca="false">IFERROR(IF(D66+G66=0,0,D66+G66),0)</f>
        <v>0</v>
      </c>
    </row>
    <row r="67" customFormat="false" ht="19.5" hidden="false" customHeight="true" outlineLevel="0" collapsed="false">
      <c r="A67" s="45"/>
      <c r="B67" s="54"/>
      <c r="C67" s="47"/>
      <c r="D67" s="55" t="n">
        <f aca="false">IF(B67="",0,B67*C67)</f>
        <v>0</v>
      </c>
      <c r="E67" s="54"/>
      <c r="F67" s="47"/>
      <c r="G67" s="55" t="n">
        <f aca="false">IF(E67="",0,E67*F67)</f>
        <v>0</v>
      </c>
      <c r="H67" s="55" t="n">
        <f aca="false">IFERROR(IF(D67+G67=0,0,D67+G67),0)</f>
        <v>0</v>
      </c>
    </row>
    <row r="68" customFormat="false" ht="19.5" hidden="false" customHeight="true" outlineLevel="0" collapsed="false">
      <c r="A68" s="40"/>
      <c r="B68" s="54"/>
      <c r="C68" s="42"/>
      <c r="D68" s="55" t="n">
        <f aca="false">IF(B68="",0,B68*C68)</f>
        <v>0</v>
      </c>
      <c r="E68" s="54"/>
      <c r="F68" s="42"/>
      <c r="G68" s="55" t="n">
        <f aca="false">IF(E68="",0,E68*F68)</f>
        <v>0</v>
      </c>
      <c r="H68" s="55" t="n">
        <f aca="false">IFERROR(IF(D68+G68=0,0,D68+G68),0)</f>
        <v>0</v>
      </c>
    </row>
    <row r="69" customFormat="false" ht="19.5" hidden="false" customHeight="true" outlineLevel="0" collapsed="false">
      <c r="A69" s="45"/>
      <c r="B69" s="54"/>
      <c r="C69" s="47"/>
      <c r="D69" s="55" t="n">
        <f aca="false">IF(B69="",0,B69*C69)</f>
        <v>0</v>
      </c>
      <c r="E69" s="54"/>
      <c r="F69" s="47"/>
      <c r="G69" s="55" t="n">
        <f aca="false">IF(E69="",0,E69*F69)</f>
        <v>0</v>
      </c>
      <c r="H69" s="55" t="n">
        <f aca="false">IFERROR(IF(D69+G69=0,0,D69+G69),0)</f>
        <v>0</v>
      </c>
    </row>
    <row r="70" customFormat="false" ht="19.5" hidden="false" customHeight="true" outlineLevel="0" collapsed="false">
      <c r="A70" s="40"/>
      <c r="B70" s="54"/>
      <c r="C70" s="42"/>
      <c r="D70" s="55" t="n">
        <f aca="false">IF(B70="",0,B70*C70)</f>
        <v>0</v>
      </c>
      <c r="E70" s="54"/>
      <c r="F70" s="42"/>
      <c r="G70" s="55" t="n">
        <f aca="false">IF(E70="",0,E70*F70)</f>
        <v>0</v>
      </c>
      <c r="H70" s="55" t="n">
        <f aca="false">IFERROR(IF(D70+G70=0,0,D70+G70),0)</f>
        <v>0</v>
      </c>
    </row>
    <row r="71" customFormat="false" ht="19.5" hidden="false" customHeight="true" outlineLevel="0" collapsed="false">
      <c r="A71" s="45"/>
      <c r="B71" s="54"/>
      <c r="C71" s="47"/>
      <c r="D71" s="55" t="n">
        <f aca="false">IF(B71="",0,B71*C71)</f>
        <v>0</v>
      </c>
      <c r="E71" s="54"/>
      <c r="F71" s="47"/>
      <c r="G71" s="55" t="n">
        <f aca="false">IF(E71="",0,E71*F71)</f>
        <v>0</v>
      </c>
      <c r="H71" s="55" t="n">
        <f aca="false">IFERROR(IF(D71+G71=0,0,D71+G71),0)</f>
        <v>0</v>
      </c>
    </row>
    <row r="72" customFormat="false" ht="19.5" hidden="false" customHeight="true" outlineLevel="0" collapsed="false">
      <c r="A72" s="40"/>
      <c r="B72" s="54"/>
      <c r="C72" s="42"/>
      <c r="D72" s="55" t="n">
        <f aca="false">IF(B72="",0,B72*C72)</f>
        <v>0</v>
      </c>
      <c r="E72" s="54"/>
      <c r="F72" s="42"/>
      <c r="G72" s="55" t="n">
        <f aca="false">IF(E72="",0,E72*F72)</f>
        <v>0</v>
      </c>
      <c r="H72" s="55" t="n">
        <f aca="false">IFERROR(IF(D72+G72=0,0,D72+G72),0)</f>
        <v>0</v>
      </c>
    </row>
    <row r="73" customFormat="false" ht="19.5" hidden="false" customHeight="true" outlineLevel="0" collapsed="false">
      <c r="A73" s="45"/>
      <c r="B73" s="54"/>
      <c r="C73" s="47"/>
      <c r="D73" s="55" t="n">
        <f aca="false">IF(B73="",0,B73*C73)</f>
        <v>0</v>
      </c>
      <c r="E73" s="54"/>
      <c r="F73" s="47"/>
      <c r="G73" s="55" t="n">
        <f aca="false">IF(E73="",0,E73*F73)</f>
        <v>0</v>
      </c>
      <c r="H73" s="55" t="n">
        <f aca="false">IFERROR(IF(D73+G73=0,0,D73+G73),0)</f>
        <v>0</v>
      </c>
    </row>
    <row r="74" customFormat="false" ht="19.5" hidden="false" customHeight="true" outlineLevel="0" collapsed="false">
      <c r="A74" s="40"/>
      <c r="B74" s="54"/>
      <c r="C74" s="42"/>
      <c r="D74" s="55" t="n">
        <f aca="false">IF(B74="",0,B74*C74)</f>
        <v>0</v>
      </c>
      <c r="E74" s="54"/>
      <c r="F74" s="42"/>
      <c r="G74" s="55" t="n">
        <f aca="false">IF(E74="",0,E74*F74)</f>
        <v>0</v>
      </c>
      <c r="H74" s="55" t="n">
        <f aca="false">IFERROR(IF(D74+G74=0,0,D74+G74),0)</f>
        <v>0</v>
      </c>
    </row>
    <row r="75" customFormat="false" ht="19.5" hidden="false" customHeight="true" outlineLevel="0" collapsed="false">
      <c r="A75" s="45"/>
      <c r="B75" s="54"/>
      <c r="C75" s="47"/>
      <c r="D75" s="55" t="n">
        <f aca="false">IF(B75="",0,B75*C75)</f>
        <v>0</v>
      </c>
      <c r="E75" s="54"/>
      <c r="F75" s="47"/>
      <c r="G75" s="55" t="n">
        <f aca="false">IF(E75="",0,E75*F75)</f>
        <v>0</v>
      </c>
      <c r="H75" s="55" t="n">
        <f aca="false">IFERROR(IF(D75+G75=0,0,D75+G75),0)</f>
        <v>0</v>
      </c>
    </row>
    <row r="76" customFormat="false" ht="19.5" hidden="false" customHeight="true" outlineLevel="0" collapsed="false">
      <c r="A76" s="40"/>
      <c r="B76" s="54"/>
      <c r="C76" s="42"/>
      <c r="D76" s="55" t="n">
        <f aca="false">IF(B76="",0,B76*C76)</f>
        <v>0</v>
      </c>
      <c r="E76" s="54"/>
      <c r="F76" s="42"/>
      <c r="G76" s="55" t="n">
        <f aca="false">IF(E76="",0,E76*F76)</f>
        <v>0</v>
      </c>
      <c r="H76" s="55" t="n">
        <f aca="false">IFERROR(IF(D76+G76=0,0,D76+G76),0)</f>
        <v>0</v>
      </c>
    </row>
    <row r="77" customFormat="false" ht="19.5" hidden="false" customHeight="true" outlineLevel="0" collapsed="false">
      <c r="A77" s="45"/>
      <c r="B77" s="54"/>
      <c r="C77" s="47"/>
      <c r="D77" s="55" t="n">
        <f aca="false">IF(B77="",0,B77*C77)</f>
        <v>0</v>
      </c>
      <c r="E77" s="54"/>
      <c r="F77" s="47"/>
      <c r="G77" s="55" t="n">
        <f aca="false">IF(E77="",0,E77*F77)</f>
        <v>0</v>
      </c>
      <c r="H77" s="55" t="n">
        <f aca="false">IFERROR(IF(D77+G77=0,0,D77+G77),0)</f>
        <v>0</v>
      </c>
    </row>
    <row r="78" customFormat="false" ht="19.5" hidden="false" customHeight="true" outlineLevel="0" collapsed="false">
      <c r="A78" s="40"/>
      <c r="B78" s="54"/>
      <c r="C78" s="42"/>
      <c r="D78" s="55" t="n">
        <f aca="false">IF(B78="",0,B78*C78)</f>
        <v>0</v>
      </c>
      <c r="E78" s="54"/>
      <c r="F78" s="42"/>
      <c r="G78" s="55" t="n">
        <f aca="false">IF(E78="",0,E78*F78)</f>
        <v>0</v>
      </c>
      <c r="H78" s="55" t="n">
        <f aca="false">IFERROR(IF(D78+G78=0,0,D78+G78),0)</f>
        <v>0</v>
      </c>
    </row>
    <row r="79" customFormat="false" ht="19.5" hidden="false" customHeight="true" outlineLevel="0" collapsed="false">
      <c r="A79" s="45"/>
      <c r="B79" s="54"/>
      <c r="C79" s="47"/>
      <c r="D79" s="55" t="n">
        <f aca="false">IF(B79="",0,B79*C79)</f>
        <v>0</v>
      </c>
      <c r="E79" s="54"/>
      <c r="F79" s="47"/>
      <c r="G79" s="55" t="n">
        <f aca="false">IF(E79="",0,E79*F79)</f>
        <v>0</v>
      </c>
      <c r="H79" s="55" t="n">
        <f aca="false">IFERROR(IF(D79+G79=0,0,D79+G79),0)</f>
        <v>0</v>
      </c>
    </row>
    <row r="80" customFormat="false" ht="19.5" hidden="false" customHeight="true" outlineLevel="0" collapsed="false">
      <c r="A80" s="40"/>
      <c r="B80" s="54"/>
      <c r="C80" s="42"/>
      <c r="D80" s="55" t="n">
        <f aca="false">IF(B80="",0,B80*C80)</f>
        <v>0</v>
      </c>
      <c r="E80" s="54"/>
      <c r="F80" s="42"/>
      <c r="G80" s="55" t="n">
        <f aca="false">IF(E80="",0,E80*F80)</f>
        <v>0</v>
      </c>
      <c r="H80" s="55" t="n">
        <f aca="false">IFERROR(IF(D80+G80=0,0,D80+G80),0)</f>
        <v>0</v>
      </c>
    </row>
    <row r="81" customFormat="false" ht="19.5" hidden="false" customHeight="true" outlineLevel="0" collapsed="false">
      <c r="A81" s="45"/>
      <c r="B81" s="54"/>
      <c r="C81" s="47"/>
      <c r="D81" s="55" t="n">
        <f aca="false">IF(B81="",0,B81*C81)</f>
        <v>0</v>
      </c>
      <c r="E81" s="54"/>
      <c r="F81" s="47"/>
      <c r="G81" s="55" t="n">
        <f aca="false">IF(E81="",0,E81*F81)</f>
        <v>0</v>
      </c>
      <c r="H81" s="55" t="n">
        <f aca="false">IFERROR(IF(D81+G81=0,0,D81+G81),0)</f>
        <v>0</v>
      </c>
    </row>
    <row r="82" customFormat="false" ht="19.5" hidden="false" customHeight="true" outlineLevel="0" collapsed="false">
      <c r="A82" s="40"/>
      <c r="B82" s="54"/>
      <c r="C82" s="42"/>
      <c r="D82" s="55" t="n">
        <f aca="false">IF(B82="",0,B82*C82)</f>
        <v>0</v>
      </c>
      <c r="E82" s="54"/>
      <c r="F82" s="42"/>
      <c r="G82" s="55" t="n">
        <f aca="false">IF(E82="",0,E82*F82)</f>
        <v>0</v>
      </c>
      <c r="H82" s="55" t="n">
        <f aca="false">IFERROR(IF(D82+G82=0,0,D82+G82),0)</f>
        <v>0</v>
      </c>
    </row>
    <row r="83" customFormat="false" ht="19.5" hidden="false" customHeight="true" outlineLevel="0" collapsed="false">
      <c r="A83" s="45"/>
      <c r="B83" s="54"/>
      <c r="C83" s="47"/>
      <c r="D83" s="55" t="n">
        <f aca="false">IF(B83="",0,B83*C83)</f>
        <v>0</v>
      </c>
      <c r="E83" s="54"/>
      <c r="F83" s="47"/>
      <c r="G83" s="55" t="n">
        <f aca="false">IF(E83="",0,E83*F83)</f>
        <v>0</v>
      </c>
      <c r="H83" s="55" t="n">
        <f aca="false">IFERROR(IF(D83+G83=0,0,D83+G83),0)</f>
        <v>0</v>
      </c>
    </row>
    <row r="84" customFormat="false" ht="19.5" hidden="false" customHeight="true" outlineLevel="0" collapsed="false">
      <c r="A84" s="40"/>
      <c r="B84" s="54"/>
      <c r="C84" s="42"/>
      <c r="D84" s="55" t="n">
        <f aca="false">IF(B84="",0,B84*C84)</f>
        <v>0</v>
      </c>
      <c r="E84" s="54"/>
      <c r="F84" s="42"/>
      <c r="G84" s="55" t="n">
        <f aca="false">IF(E84="",0,E84*F84)</f>
        <v>0</v>
      </c>
      <c r="H84" s="55" t="n">
        <f aca="false">IFERROR(IF(D84+G84=0,0,D84+G84),0)</f>
        <v>0</v>
      </c>
    </row>
    <row r="85" customFormat="false" ht="19.5" hidden="false" customHeight="true" outlineLevel="0" collapsed="false">
      <c r="A85" s="45"/>
      <c r="B85" s="54"/>
      <c r="C85" s="47"/>
      <c r="D85" s="55" t="n">
        <f aca="false">IF(B85="",0,B85*C85)</f>
        <v>0</v>
      </c>
      <c r="E85" s="54"/>
      <c r="F85" s="47"/>
      <c r="G85" s="55" t="n">
        <f aca="false">IF(E85="",0,E85*F85)</f>
        <v>0</v>
      </c>
      <c r="H85" s="55" t="n">
        <f aca="false">IFERROR(IF(D85+G85=0,0,D85+G85),0)</f>
        <v>0</v>
      </c>
    </row>
    <row r="86" customFormat="false" ht="19.5" hidden="false" customHeight="true" outlineLevel="0" collapsed="false">
      <c r="A86" s="40"/>
      <c r="B86" s="54"/>
      <c r="C86" s="42"/>
      <c r="D86" s="55" t="n">
        <f aca="false">IF(B86="",0,B86*C86)</f>
        <v>0</v>
      </c>
      <c r="E86" s="54"/>
      <c r="F86" s="42"/>
      <c r="G86" s="55" t="n">
        <f aca="false">IF(E86="",0,E86*F86)</f>
        <v>0</v>
      </c>
      <c r="H86" s="55" t="n">
        <f aca="false">IFERROR(IF(D86+G86=0,0,D86+G86),0)</f>
        <v>0</v>
      </c>
    </row>
    <row r="87" customFormat="false" ht="19.5" hidden="false" customHeight="true" outlineLevel="0" collapsed="false">
      <c r="A87" s="45"/>
      <c r="B87" s="54"/>
      <c r="C87" s="47"/>
      <c r="D87" s="55" t="n">
        <f aca="false">IF(B87="",0,B87*C87)</f>
        <v>0</v>
      </c>
      <c r="E87" s="54"/>
      <c r="F87" s="47"/>
      <c r="G87" s="55" t="n">
        <f aca="false">IF(E87="",0,E87*F87)</f>
        <v>0</v>
      </c>
      <c r="H87" s="55" t="n">
        <f aca="false">IFERROR(IF(D87+G87=0,0,D87+G87),0)</f>
        <v>0</v>
      </c>
    </row>
    <row r="88" customFormat="false" ht="19.5" hidden="false" customHeight="true" outlineLevel="0" collapsed="false">
      <c r="A88" s="40"/>
      <c r="B88" s="54"/>
      <c r="C88" s="42"/>
      <c r="D88" s="55" t="n">
        <f aca="false">IF(B88="",0,B88*C88)</f>
        <v>0</v>
      </c>
      <c r="E88" s="54"/>
      <c r="F88" s="42"/>
      <c r="G88" s="55" t="n">
        <f aca="false">IF(E88="",0,E88*F88)</f>
        <v>0</v>
      </c>
      <c r="H88" s="55" t="n">
        <f aca="false">IFERROR(IF(D88+G88=0,0,D88+G88),0)</f>
        <v>0</v>
      </c>
    </row>
    <row r="89" customFormat="false" ht="19.5" hidden="false" customHeight="true" outlineLevel="0" collapsed="false">
      <c r="A89" s="45"/>
      <c r="B89" s="54"/>
      <c r="C89" s="47"/>
      <c r="D89" s="55" t="n">
        <f aca="false">IF(B89="",0,B89*C89)</f>
        <v>0</v>
      </c>
      <c r="E89" s="54"/>
      <c r="F89" s="47"/>
      <c r="G89" s="55" t="n">
        <f aca="false">IF(E89="",0,E89*F89)</f>
        <v>0</v>
      </c>
      <c r="H89" s="55" t="n">
        <f aca="false">IFERROR(IF(D89+G89=0,0,D89+G89),0)</f>
        <v>0</v>
      </c>
    </row>
    <row r="90" customFormat="false" ht="19.5" hidden="false" customHeight="true" outlineLevel="0" collapsed="false">
      <c r="A90" s="40"/>
      <c r="B90" s="54"/>
      <c r="C90" s="42"/>
      <c r="D90" s="55" t="n">
        <f aca="false">IF(B90="",0,B90*C90)</f>
        <v>0</v>
      </c>
      <c r="E90" s="54"/>
      <c r="F90" s="42"/>
      <c r="G90" s="55" t="n">
        <f aca="false">IF(E90="",0,E90*F90)</f>
        <v>0</v>
      </c>
      <c r="H90" s="55" t="n">
        <f aca="false">IFERROR(IF(D90+G90=0,0,D90+G90),0)</f>
        <v>0</v>
      </c>
    </row>
    <row r="91" customFormat="false" ht="19.5" hidden="false" customHeight="true" outlineLevel="0" collapsed="false">
      <c r="A91" s="45"/>
      <c r="B91" s="54"/>
      <c r="C91" s="47"/>
      <c r="D91" s="55" t="n">
        <f aca="false">IF(B91="",0,B91*C91)</f>
        <v>0</v>
      </c>
      <c r="E91" s="54"/>
      <c r="F91" s="47"/>
      <c r="G91" s="55" t="n">
        <f aca="false">IF(E91="",0,E91*F91)</f>
        <v>0</v>
      </c>
      <c r="H91" s="55" t="n">
        <f aca="false">IFERROR(IF(D91+G91=0,0,D91+G91),0)</f>
        <v>0</v>
      </c>
    </row>
    <row r="92" customFormat="false" ht="19.5" hidden="false" customHeight="true" outlineLevel="0" collapsed="false">
      <c r="A92" s="40"/>
      <c r="B92" s="54"/>
      <c r="C92" s="42"/>
      <c r="D92" s="55" t="n">
        <f aca="false">IF(B92="",0,B92*C92)</f>
        <v>0</v>
      </c>
      <c r="E92" s="54"/>
      <c r="F92" s="42"/>
      <c r="G92" s="55" t="n">
        <f aca="false">IF(E92="",0,E92*F92)</f>
        <v>0</v>
      </c>
      <c r="H92" s="55" t="n">
        <f aca="false">IFERROR(IF(D92+G92=0,0,D92+G92),0)</f>
        <v>0</v>
      </c>
    </row>
    <row r="93" customFormat="false" ht="19.5" hidden="false" customHeight="true" outlineLevel="0" collapsed="false">
      <c r="A93" s="45"/>
      <c r="B93" s="54"/>
      <c r="C93" s="47"/>
      <c r="D93" s="55" t="n">
        <f aca="false">IF(B93="",0,B93*C93)</f>
        <v>0</v>
      </c>
      <c r="E93" s="54"/>
      <c r="F93" s="47"/>
      <c r="G93" s="55" t="n">
        <f aca="false">IF(E93="",0,E93*F93)</f>
        <v>0</v>
      </c>
      <c r="H93" s="55" t="n">
        <f aca="false">IFERROR(IF(D93+G93=0,0,D93+G93),0)</f>
        <v>0</v>
      </c>
    </row>
    <row r="94" customFormat="false" ht="19.5" hidden="false" customHeight="true" outlineLevel="0" collapsed="false">
      <c r="A94" s="40"/>
      <c r="B94" s="54"/>
      <c r="C94" s="42"/>
      <c r="D94" s="55" t="n">
        <f aca="false">IF(B94="",0,B94*C94)</f>
        <v>0</v>
      </c>
      <c r="E94" s="54"/>
      <c r="F94" s="42"/>
      <c r="G94" s="55" t="n">
        <f aca="false">IF(E94="",0,E94*F94)</f>
        <v>0</v>
      </c>
      <c r="H94" s="55" t="n">
        <f aca="false">IFERROR(IF(D94+G94=0,0,D94+G94),0)</f>
        <v>0</v>
      </c>
    </row>
    <row r="95" customFormat="false" ht="19.5" hidden="false" customHeight="true" outlineLevel="0" collapsed="false">
      <c r="A95" s="45"/>
      <c r="B95" s="54"/>
      <c r="C95" s="47"/>
      <c r="D95" s="55" t="n">
        <f aca="false">IF(B95="",0,B95*C95)</f>
        <v>0</v>
      </c>
      <c r="E95" s="54"/>
      <c r="F95" s="47"/>
      <c r="G95" s="55" t="n">
        <f aca="false">IF(E95="",0,E95*F95)</f>
        <v>0</v>
      </c>
      <c r="H95" s="55" t="n">
        <f aca="false">IFERROR(IF(D95+G95=0,0,D95+G95),0)</f>
        <v>0</v>
      </c>
    </row>
    <row r="96" customFormat="false" ht="19.5" hidden="false" customHeight="true" outlineLevel="0" collapsed="false">
      <c r="A96" s="40"/>
      <c r="B96" s="54"/>
      <c r="C96" s="42"/>
      <c r="D96" s="55" t="n">
        <f aca="false">IF(B96="",0,B96*C96)</f>
        <v>0</v>
      </c>
      <c r="E96" s="54"/>
      <c r="F96" s="42"/>
      <c r="G96" s="55" t="n">
        <f aca="false">IF(E96="",0,E96*F96)</f>
        <v>0</v>
      </c>
      <c r="H96" s="55" t="n">
        <f aca="false">IFERROR(IF(D96+G96=0,0,D96+G96),0)</f>
        <v>0</v>
      </c>
    </row>
    <row r="97" customFormat="false" ht="19.5" hidden="false" customHeight="true" outlineLevel="0" collapsed="false">
      <c r="A97" s="45"/>
      <c r="B97" s="54"/>
      <c r="C97" s="47"/>
      <c r="D97" s="55" t="n">
        <f aca="false">IF(B97="",0,B97*C97)</f>
        <v>0</v>
      </c>
      <c r="E97" s="54"/>
      <c r="F97" s="47"/>
      <c r="G97" s="55" t="n">
        <f aca="false">IF(E97="",0,E97*F97)</f>
        <v>0</v>
      </c>
      <c r="H97" s="55" t="n">
        <f aca="false">IFERROR(IF(D97+G97=0,0,D97+G97),0)</f>
        <v>0</v>
      </c>
    </row>
    <row r="98" customFormat="false" ht="19.5" hidden="false" customHeight="true" outlineLevel="0" collapsed="false">
      <c r="A98" s="40"/>
      <c r="B98" s="54"/>
      <c r="C98" s="42"/>
      <c r="D98" s="55" t="n">
        <f aca="false">IF(B98="",0,B98*C98)</f>
        <v>0</v>
      </c>
      <c r="E98" s="54"/>
      <c r="F98" s="42"/>
      <c r="G98" s="55" t="n">
        <f aca="false">IF(E98="",0,E98*F98)</f>
        <v>0</v>
      </c>
      <c r="H98" s="55" t="n">
        <f aca="false">IFERROR(IF(D98+G98=0,0,D98+G98),0)</f>
        <v>0</v>
      </c>
    </row>
    <row r="99" customFormat="false" ht="19.5" hidden="false" customHeight="true" outlineLevel="0" collapsed="false">
      <c r="A99" s="45"/>
      <c r="B99" s="54"/>
      <c r="C99" s="47"/>
      <c r="D99" s="55" t="n">
        <f aca="false">IF(B99="",0,B99*C99)</f>
        <v>0</v>
      </c>
      <c r="E99" s="54"/>
      <c r="F99" s="47"/>
      <c r="G99" s="55" t="n">
        <f aca="false">IF(E99="",0,E99*F99)</f>
        <v>0</v>
      </c>
      <c r="H99" s="55" t="n">
        <f aca="false">IFERROR(IF(D99+G99=0,0,D99+G99),0)</f>
        <v>0</v>
      </c>
    </row>
    <row r="100" customFormat="false" ht="19.5" hidden="false" customHeight="true" outlineLevel="0" collapsed="false">
      <c r="A100" s="40"/>
      <c r="B100" s="54"/>
      <c r="C100" s="42"/>
      <c r="D100" s="55" t="n">
        <f aca="false">IF(B100="",0,B100*C100)</f>
        <v>0</v>
      </c>
      <c r="E100" s="54"/>
      <c r="F100" s="42"/>
      <c r="G100" s="55" t="n">
        <f aca="false">IF(E100="",0,E100*F100)</f>
        <v>0</v>
      </c>
      <c r="H100" s="55" t="n">
        <f aca="false">IFERROR(IF(D100+G100=0,0,D100+G100),0)</f>
        <v>0</v>
      </c>
    </row>
    <row r="101" customFormat="false" ht="19.5" hidden="false" customHeight="true" outlineLevel="0" collapsed="false">
      <c r="A101" s="45"/>
      <c r="B101" s="54"/>
      <c r="C101" s="47"/>
      <c r="D101" s="55" t="n">
        <f aca="false">IF(B101="",0,B101*C101)</f>
        <v>0</v>
      </c>
      <c r="E101" s="54"/>
      <c r="F101" s="47"/>
      <c r="G101" s="55" t="n">
        <f aca="false">IF(E101="",0,E101*F101)</f>
        <v>0</v>
      </c>
      <c r="H101" s="55" t="n">
        <f aca="false">IFERROR(IF(D101+G101=0,0,D101+G101),0)</f>
        <v>0</v>
      </c>
    </row>
    <row r="102" customFormat="false" ht="19.5" hidden="false" customHeight="true" outlineLevel="0" collapsed="false">
      <c r="A102" s="40"/>
      <c r="B102" s="54"/>
      <c r="C102" s="42"/>
      <c r="D102" s="55" t="n">
        <f aca="false">IF(B102="",0,B102*C102)</f>
        <v>0</v>
      </c>
      <c r="E102" s="54"/>
      <c r="F102" s="42"/>
      <c r="G102" s="55" t="n">
        <f aca="false">IF(E102="",0,E102*F102)</f>
        <v>0</v>
      </c>
      <c r="H102" s="55" t="n">
        <f aca="false">IFERROR(IF(D102+G102=0,0,D102+G102),0)</f>
        <v>0</v>
      </c>
    </row>
    <row r="103" customFormat="false" ht="19.5" hidden="false" customHeight="true" outlineLevel="0" collapsed="false">
      <c r="A103" s="45"/>
      <c r="B103" s="54"/>
      <c r="C103" s="47"/>
      <c r="D103" s="55" t="n">
        <f aca="false">IF(B103="",0,B103*C103)</f>
        <v>0</v>
      </c>
      <c r="E103" s="54"/>
      <c r="F103" s="47"/>
      <c r="G103" s="55" t="n">
        <f aca="false">IF(E103="",0,E103*F103)</f>
        <v>0</v>
      </c>
      <c r="H103" s="55" t="n">
        <f aca="false">IFERROR(IF(D103+G103=0,0,D103+G103),0)</f>
        <v>0</v>
      </c>
    </row>
    <row r="104" customFormat="false" ht="19.5" hidden="false" customHeight="true" outlineLevel="0" collapsed="false">
      <c r="A104" s="40"/>
      <c r="B104" s="54"/>
      <c r="C104" s="42"/>
      <c r="D104" s="55" t="n">
        <f aca="false">IF(B104="",0,B104*C104)</f>
        <v>0</v>
      </c>
      <c r="E104" s="54"/>
      <c r="F104" s="42"/>
      <c r="G104" s="55" t="n">
        <f aca="false">IF(E104="",0,E104*F104)</f>
        <v>0</v>
      </c>
      <c r="H104" s="55" t="n">
        <f aca="false">IFERROR(IF(D104+G104=0,0,D104+G104),0)</f>
        <v>0</v>
      </c>
    </row>
    <row r="105" customFormat="false" ht="19.5" hidden="false" customHeight="true" outlineLevel="0" collapsed="false">
      <c r="A105" s="45"/>
      <c r="B105" s="54"/>
      <c r="C105" s="47"/>
      <c r="D105" s="55" t="n">
        <f aca="false">IF(B105="",0,B105*C105)</f>
        <v>0</v>
      </c>
      <c r="E105" s="54"/>
      <c r="F105" s="47"/>
      <c r="G105" s="55" t="n">
        <f aca="false">IF(E105="",0,E105*F105)</f>
        <v>0</v>
      </c>
      <c r="H105" s="55" t="n">
        <f aca="false">IFERROR(IF(D105+G105=0,0,D105+G105),0)</f>
        <v>0</v>
      </c>
    </row>
    <row r="106" customFormat="false" ht="19.5" hidden="false" customHeight="true" outlineLevel="0" collapsed="false">
      <c r="A106" s="40"/>
      <c r="B106" s="54"/>
      <c r="C106" s="42"/>
      <c r="D106" s="55" t="n">
        <f aca="false">IF(B106="",0,B106*C106)</f>
        <v>0</v>
      </c>
      <c r="E106" s="54"/>
      <c r="F106" s="42"/>
      <c r="G106" s="55" t="n">
        <f aca="false">IF(E106="",0,E106*F106)</f>
        <v>0</v>
      </c>
      <c r="H106" s="55" t="n">
        <f aca="false">IFERROR(IF(D106+G106=0,0,D106+G106),0)</f>
        <v>0</v>
      </c>
    </row>
    <row r="107" customFormat="false" ht="19.5" hidden="false" customHeight="true" outlineLevel="0" collapsed="false">
      <c r="A107" s="45"/>
      <c r="B107" s="54"/>
      <c r="C107" s="47"/>
      <c r="D107" s="55" t="n">
        <f aca="false">IF(B107="",0,B107*C107)</f>
        <v>0</v>
      </c>
      <c r="E107" s="54"/>
      <c r="F107" s="47"/>
      <c r="G107" s="55" t="n">
        <f aca="false">IF(E107="",0,E107*F107)</f>
        <v>0</v>
      </c>
      <c r="H107" s="55" t="n">
        <f aca="false">IFERROR(IF(D107+G107=0,0,D107+G107),0)</f>
        <v>0</v>
      </c>
    </row>
    <row r="108" customFormat="false" ht="19.5" hidden="false" customHeight="true" outlineLevel="0" collapsed="false">
      <c r="A108" s="40"/>
      <c r="B108" s="54"/>
      <c r="C108" s="42"/>
      <c r="D108" s="55" t="n">
        <f aca="false">IF(B108="",0,B108*C108)</f>
        <v>0</v>
      </c>
      <c r="E108" s="54"/>
      <c r="F108" s="42"/>
      <c r="G108" s="55" t="n">
        <f aca="false">IF(E108="",0,E108*F108)</f>
        <v>0</v>
      </c>
      <c r="H108" s="55" t="n">
        <f aca="false">IFERROR(IF(D108+G108=0,0,D108+G108),0)</f>
        <v>0</v>
      </c>
    </row>
    <row r="109" customFormat="false" ht="19.5" hidden="false" customHeight="true" outlineLevel="0" collapsed="false">
      <c r="A109" s="45"/>
      <c r="B109" s="54"/>
      <c r="C109" s="47"/>
      <c r="D109" s="55" t="n">
        <f aca="false">IF(B109="",0,B109*C109)</f>
        <v>0</v>
      </c>
      <c r="E109" s="54"/>
      <c r="F109" s="47"/>
      <c r="G109" s="55" t="n">
        <f aca="false">IF(E109="",0,E109*F109)</f>
        <v>0</v>
      </c>
      <c r="H109" s="55" t="n">
        <f aca="false">IFERROR(IF(D109+G109=0,0,D109+G109),0)</f>
        <v>0</v>
      </c>
    </row>
    <row r="110" customFormat="false" ht="25.5" hidden="false" customHeight="true" outlineLevel="0" collapsed="false">
      <c r="A110" s="51"/>
      <c r="B110" s="51"/>
      <c r="C110" s="51"/>
      <c r="D110" s="38" t="n">
        <f aca="false">SUM(D6:D109)</f>
        <v>872.1</v>
      </c>
      <c r="G110" s="38" t="n">
        <f aca="false">SUM(G6:G109)</f>
        <v>704.7518</v>
      </c>
      <c r="H110" s="38" t="n">
        <f aca="false">SUM(H6:H109)</f>
        <v>1576.8518</v>
      </c>
    </row>
  </sheetData>
  <mergeCells count="2">
    <mergeCell ref="A3:H3"/>
    <mergeCell ref="A110:C11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0" topLeftCell="A21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8"/>
    <col collapsed="false" customWidth="true" hidden="false" outlineLevel="0" max="2" min="2" style="1" width="10"/>
    <col collapsed="false" customWidth="true" hidden="false" outlineLevel="0" max="3" min="3" style="1" width="16"/>
    <col collapsed="false" customWidth="true" hidden="false" outlineLevel="0" max="4" min="4" style="1" width="12"/>
    <col collapsed="false" customWidth="true" hidden="false" outlineLevel="0" max="5" min="5" style="1" width="16"/>
    <col collapsed="false" customWidth="true" hidden="false" outlineLevel="0" max="9" min="6" style="1" width="14"/>
    <col collapsed="false" customWidth="true" hidden="false" outlineLevel="0" max="10" min="10" style="1" width="12"/>
    <col collapsed="false" customWidth="true" hidden="false" outlineLevel="0" max="11" min="11" style="1" width="16"/>
    <col collapsed="false" customWidth="true" hidden="false" outlineLevel="0" max="13" min="12" style="1" width="14"/>
  </cols>
  <sheetData>
    <row r="1" customFormat="false" ht="7.5" hidden="false" customHeight="true" outlineLevel="0" collapsed="false"/>
    <row r="2" customFormat="false" ht="37.5" hidden="false" customHeight="true" outlineLevel="0" collapsed="false">
      <c r="A2" s="56" t="s">
        <v>88</v>
      </c>
    </row>
    <row r="3" customFormat="false" ht="18" hidden="false" customHeight="true" outlineLevel="0" collapsed="false">
      <c r="A3" s="57" t="s">
        <v>89</v>
      </c>
    </row>
    <row r="5" customFormat="false" ht="25.5" hidden="false" customHeight="true" outlineLevel="0" collapsed="false">
      <c r="A5" s="58" t="s">
        <v>90</v>
      </c>
    </row>
    <row r="6" customFormat="false" ht="21.75" hidden="false" customHeight="true" outlineLevel="0" collapsed="false">
      <c r="A6" s="59" t="s">
        <v>91</v>
      </c>
      <c r="C6" s="60"/>
      <c r="F6" s="61" t="s">
        <v>92</v>
      </c>
      <c r="G6" s="18" t="s">
        <v>93</v>
      </c>
      <c r="I6" s="29" t="n">
        <f aca="false">'🔥 Dashboard'!F22</f>
        <v>0</v>
      </c>
    </row>
    <row r="7" customFormat="false" ht="21.75" hidden="false" customHeight="true" outlineLevel="0" collapsed="false">
      <c r="A7" s="62" t="s">
        <v>94</v>
      </c>
      <c r="C7" s="60"/>
      <c r="F7" s="63" t="s">
        <v>95</v>
      </c>
      <c r="G7" s="18" t="s">
        <v>96</v>
      </c>
      <c r="I7" s="29" t="n">
        <f aca="false">'🔥 Dashboard'!F24</f>
        <v>0</v>
      </c>
    </row>
    <row r="8" customFormat="false" ht="21.75" hidden="false" customHeight="true" outlineLevel="0" collapsed="false">
      <c r="A8" s="64" t="s">
        <v>97</v>
      </c>
      <c r="C8" s="60"/>
      <c r="F8" s="61" t="s">
        <v>98</v>
      </c>
    </row>
    <row r="9" customFormat="false" ht="21.75" hidden="false" customHeight="true" outlineLevel="0" collapsed="false">
      <c r="A9" s="18" t="s">
        <v>99</v>
      </c>
      <c r="C9" s="65" t="n">
        <v>0.25</v>
      </c>
      <c r="F9" s="63" t="s">
        <v>100</v>
      </c>
      <c r="G9" s="18" t="s">
        <v>101</v>
      </c>
      <c r="I9" s="29" t="n">
        <f aca="false">C5*C7</f>
        <v>0</v>
      </c>
    </row>
    <row r="10" customFormat="false" ht="21.75" hidden="false" customHeight="true" outlineLevel="0" collapsed="false">
      <c r="A10" s="18" t="s">
        <v>102</v>
      </c>
      <c r="C10" s="65" t="n">
        <v>0.02</v>
      </c>
      <c r="G10" s="18" t="s">
        <v>103</v>
      </c>
      <c r="I10" s="29" t="str">
        <f aca="false">IF(C5*C7&gt;=C6*12,"✅ YES — FREE NOW!","⏳ Still building")</f>
        <v>✅ YES — FREE NOW!</v>
      </c>
    </row>
    <row r="11" customFormat="false" ht="21.75" hidden="false" customHeight="true" outlineLevel="0" collapsed="false">
      <c r="A11" s="18" t="s">
        <v>104</v>
      </c>
      <c r="C11" s="65" t="n">
        <v>0.04</v>
      </c>
      <c r="G11" s="18" t="s">
        <v>105</v>
      </c>
      <c r="I11" s="29" t="n">
        <f aca="false">((10000*'🔥 Dashboard'!E7)+(10000*'🔥 Dashboard'!E15))*4</f>
        <v>0</v>
      </c>
    </row>
    <row r="12" customFormat="false" ht="21.75" hidden="false" customHeight="true" outlineLevel="0" collapsed="false">
      <c r="A12" s="18" t="s">
        <v>106</v>
      </c>
      <c r="C12" s="65" t="n">
        <v>0.03</v>
      </c>
      <c r="G12" s="18" t="s">
        <v>107</v>
      </c>
      <c r="I12" s="29" t="n">
        <f aca="false">C5*(1+C9)^10</f>
        <v>0</v>
      </c>
    </row>
    <row r="13" customFormat="false" ht="21.75" hidden="false" customHeight="true" outlineLevel="0" collapsed="false">
      <c r="A13" s="18" t="s">
        <v>108</v>
      </c>
      <c r="C13" s="19"/>
      <c r="G13" s="18" t="s">
        <v>109</v>
      </c>
      <c r="I13" s="29" t="n">
        <f aca="false">C5*(1+C9)^20</f>
        <v>0</v>
      </c>
    </row>
    <row r="14" customFormat="false" ht="21.75" hidden="false" customHeight="true" outlineLevel="0" collapsed="false">
      <c r="A14" s="18" t="s">
        <v>110</v>
      </c>
      <c r="C14" s="19"/>
      <c r="G14" s="18" t="s">
        <v>111</v>
      </c>
      <c r="I14" s="29" t="n">
        <f aca="false">C5*(1+C9)^10*C7</f>
        <v>0</v>
      </c>
    </row>
    <row r="15" customFormat="false" ht="21.75" hidden="false" customHeight="true" outlineLevel="0" collapsed="false">
      <c r="A15" s="18" t="s">
        <v>112</v>
      </c>
      <c r="C15" s="60"/>
      <c r="G15" s="18" t="s">
        <v>113</v>
      </c>
      <c r="I15" s="29" t="n">
        <f aca="false">C5*(1+C9)^20*C7</f>
        <v>0</v>
      </c>
    </row>
    <row r="16" customFormat="false" ht="21.75" hidden="false" customHeight="true" outlineLevel="0" collapsed="false">
      <c r="A16" s="64" t="s">
        <v>114</v>
      </c>
      <c r="C16" s="19"/>
      <c r="F16" s="66" t="s">
        <v>115</v>
      </c>
    </row>
    <row r="17" customFormat="false" ht="15" hidden="false" customHeight="true" outlineLevel="0" collapsed="false">
      <c r="A17" s="64" t="s">
        <v>116</v>
      </c>
      <c r="C17" s="60"/>
      <c r="F17" s="66" t="s">
        <v>115</v>
      </c>
    </row>
    <row r="18" customFormat="false" ht="15" hidden="false" customHeight="true" outlineLevel="0" collapsed="false">
      <c r="A18" s="67" t="s">
        <v>117</v>
      </c>
      <c r="C18" s="68" t="n">
        <f aca="false">C15+C17</f>
        <v>0</v>
      </c>
      <c r="F18" s="61" t="s">
        <v>118</v>
      </c>
    </row>
    <row r="19" customFormat="false" ht="25.5" hidden="false" customHeight="true" outlineLevel="0" collapsed="false">
      <c r="A19" s="18" t="s">
        <v>119</v>
      </c>
      <c r="C19" s="69" t="s">
        <v>120</v>
      </c>
    </row>
    <row r="20" customFormat="false" ht="31.5" hidden="false" customHeight="true" outlineLevel="0" collapsed="false"/>
    <row r="21" customFormat="false" ht="30" hidden="false" customHeight="true" outlineLevel="0" collapsed="false">
      <c r="A21" s="70" t="s">
        <v>121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</row>
    <row r="22" customFormat="false" ht="19.5" hidden="false" customHeight="true" outlineLevel="0" collapsed="false">
      <c r="A22" s="71" t="s">
        <v>122</v>
      </c>
    </row>
    <row r="23" customFormat="false" ht="31.5" hidden="false" customHeight="true" outlineLevel="0" collapsed="false">
      <c r="A23" s="72" t="s">
        <v>123</v>
      </c>
      <c r="B23" s="72" t="s">
        <v>124</v>
      </c>
      <c r="C23" s="72" t="s">
        <v>125</v>
      </c>
      <c r="D23" s="72" t="s">
        <v>126</v>
      </c>
      <c r="E23" s="72" t="s">
        <v>127</v>
      </c>
      <c r="F23" s="72" t="s">
        <v>128</v>
      </c>
      <c r="G23" s="72" t="s">
        <v>129</v>
      </c>
      <c r="H23" s="72" t="s">
        <v>130</v>
      </c>
      <c r="I23" s="72" t="s">
        <v>131</v>
      </c>
      <c r="J23" s="72" t="s">
        <v>132</v>
      </c>
      <c r="K23" s="72" t="s">
        <v>133</v>
      </c>
      <c r="L23" s="72" t="s">
        <v>134</v>
      </c>
      <c r="M23" s="72" t="s">
        <v>135</v>
      </c>
    </row>
    <row r="24" customFormat="false" ht="19.5" hidden="false" customHeight="true" outlineLevel="0" collapsed="false">
      <c r="A24" s="73" t="n">
        <v>1</v>
      </c>
      <c r="B24" s="73" t="n">
        <f aca="false">$C$13+0</f>
        <v>0</v>
      </c>
      <c r="C24" s="74" t="n">
        <f aca="false">$C$6</f>
        <v>0</v>
      </c>
      <c r="D24" s="75" t="n">
        <f aca="false">$C$9*(1+$C$10)^0</f>
        <v>0.25</v>
      </c>
      <c r="E24" s="76" t="n">
        <f aca="false">C24*D24</f>
        <v>0</v>
      </c>
      <c r="F24" s="74" t="n">
        <f aca="false">IF(B24&gt;=$C$14,$C$15,0)+IF(AND($C$16&gt;0,B24&gt;=$C$16),$C$17,0)</f>
        <v>0</v>
      </c>
      <c r="G24" s="76" t="n">
        <f aca="false">E24+F24</f>
        <v>0</v>
      </c>
      <c r="H24" s="74" t="n">
        <f aca="false">$C$7*12*(1+$C$12)^0</f>
        <v>0</v>
      </c>
      <c r="I24" s="77" t="n">
        <f aca="false">G24-H24</f>
        <v>0</v>
      </c>
      <c r="J24" s="78" t="n">
        <f aca="false">G24-($C$8*12*(1+$C$12)^0)</f>
        <v>0</v>
      </c>
      <c r="K24" s="74" t="n">
        <f aca="false">IF(UPPER($C$19)="YES",MAX(0,I24),0)</f>
        <v>0</v>
      </c>
      <c r="L24" s="74" t="n">
        <f aca="false">(C24+K24)*(1+$C$11)</f>
        <v>0</v>
      </c>
      <c r="M24" s="79" t="str">
        <f aca="false">IF(J24&gt;=0,"🔥 GOAL!",IF(I24&gt;=0,"✅ NEED MET","⏳ Building"))</f>
        <v>🔥 GOAL!</v>
      </c>
    </row>
    <row r="25" customFormat="false" ht="19.5" hidden="false" customHeight="true" outlineLevel="0" collapsed="false">
      <c r="A25" s="80" t="n">
        <v>2</v>
      </c>
      <c r="B25" s="80" t="n">
        <f aca="false">$C$13+1</f>
        <v>1</v>
      </c>
      <c r="C25" s="81" t="n">
        <f aca="false">L24</f>
        <v>0</v>
      </c>
      <c r="D25" s="82" t="n">
        <f aca="false">$C$9*(1+$C$10)^1</f>
        <v>0.255</v>
      </c>
      <c r="E25" s="76" t="n">
        <f aca="false">C25*D25</f>
        <v>0</v>
      </c>
      <c r="F25" s="81" t="n">
        <f aca="false">IF(B25&gt;=$C$14,$C$15,0)+IF(AND($C$16&gt;0,B25&gt;=$C$16),$C$17,0)</f>
        <v>0</v>
      </c>
      <c r="G25" s="76" t="n">
        <f aca="false">E25+F25</f>
        <v>0</v>
      </c>
      <c r="H25" s="81" t="n">
        <f aca="false">$C$7*12*(1+$C$12)^1</f>
        <v>0</v>
      </c>
      <c r="I25" s="83" t="n">
        <f aca="false">G25-H25</f>
        <v>0</v>
      </c>
      <c r="J25" s="84" t="n">
        <f aca="false">G25-($C$8*12*(1+$C$12)^1)</f>
        <v>0</v>
      </c>
      <c r="K25" s="81" t="n">
        <f aca="false">IF(UPPER($C$19)="YES",MAX(0,I25),0)</f>
        <v>0</v>
      </c>
      <c r="L25" s="81" t="n">
        <f aca="false">(C25+K25)*(1+$C$11)</f>
        <v>0</v>
      </c>
      <c r="M25" s="85" t="str">
        <f aca="false">IF(J25&gt;=0,"🔥 GOAL!",IF(I25&gt;=0,"✅ NEED MET","⏳ Building"))</f>
        <v>🔥 GOAL!</v>
      </c>
    </row>
    <row r="26" customFormat="false" ht="19.5" hidden="false" customHeight="true" outlineLevel="0" collapsed="false">
      <c r="A26" s="73" t="n">
        <v>3</v>
      </c>
      <c r="B26" s="73" t="n">
        <f aca="false">$C$13+2</f>
        <v>2</v>
      </c>
      <c r="C26" s="74" t="n">
        <f aca="false">L25</f>
        <v>0</v>
      </c>
      <c r="D26" s="75" t="n">
        <f aca="false">$C$9*(1+$C$10)^2</f>
        <v>0.2601</v>
      </c>
      <c r="E26" s="76" t="n">
        <f aca="false">C26*D26</f>
        <v>0</v>
      </c>
      <c r="F26" s="74" t="n">
        <f aca="false">IF(B26&gt;=$C$14,$C$15,0)+IF(AND($C$16&gt;0,B26&gt;=$C$16),$C$17,0)</f>
        <v>0</v>
      </c>
      <c r="G26" s="76" t="n">
        <f aca="false">E26+F26</f>
        <v>0</v>
      </c>
      <c r="H26" s="74" t="n">
        <f aca="false">$C$7*12*(1+$C$12)^2</f>
        <v>0</v>
      </c>
      <c r="I26" s="77" t="n">
        <f aca="false">G26-H26</f>
        <v>0</v>
      </c>
      <c r="J26" s="78" t="n">
        <f aca="false">G26-($C$8*12*(1+$C$12)^2)</f>
        <v>0</v>
      </c>
      <c r="K26" s="74" t="n">
        <f aca="false">IF(UPPER($C$19)="YES",MAX(0,I26),0)</f>
        <v>0</v>
      </c>
      <c r="L26" s="74" t="n">
        <f aca="false">(C26+K26)*(1+$C$11)</f>
        <v>0</v>
      </c>
      <c r="M26" s="79" t="str">
        <f aca="false">IF(J26&gt;=0,"🔥 GOAL!",IF(I26&gt;=0,"✅ NEED MET","⏳ Building"))</f>
        <v>🔥 GOAL!</v>
      </c>
    </row>
    <row r="27" customFormat="false" ht="19.5" hidden="false" customHeight="true" outlineLevel="0" collapsed="false">
      <c r="A27" s="80" t="n">
        <v>4</v>
      </c>
      <c r="B27" s="80" t="n">
        <f aca="false">$C$13+3</f>
        <v>3</v>
      </c>
      <c r="C27" s="81" t="n">
        <f aca="false">L26</f>
        <v>0</v>
      </c>
      <c r="D27" s="82" t="n">
        <f aca="false">$C$9*(1+$C$10)^3</f>
        <v>0.265302</v>
      </c>
      <c r="E27" s="76" t="n">
        <f aca="false">C27*D27</f>
        <v>0</v>
      </c>
      <c r="F27" s="81" t="n">
        <f aca="false">IF(B27&gt;=$C$14,$C$15,0)+IF(AND($C$16&gt;0,B27&gt;=$C$16),$C$17,0)</f>
        <v>0</v>
      </c>
      <c r="G27" s="76" t="n">
        <f aca="false">E27+F27</f>
        <v>0</v>
      </c>
      <c r="H27" s="81" t="n">
        <f aca="false">$C$7*12*(1+$C$12)^3</f>
        <v>0</v>
      </c>
      <c r="I27" s="83" t="n">
        <f aca="false">G27-H27</f>
        <v>0</v>
      </c>
      <c r="J27" s="84" t="n">
        <f aca="false">G27-($C$8*12*(1+$C$12)^3)</f>
        <v>0</v>
      </c>
      <c r="K27" s="81" t="n">
        <f aca="false">IF(UPPER($C$19)="YES",MAX(0,I27),0)</f>
        <v>0</v>
      </c>
      <c r="L27" s="81" t="n">
        <f aca="false">(C27+K27)*(1+$C$11)</f>
        <v>0</v>
      </c>
      <c r="M27" s="85" t="str">
        <f aca="false">IF(J27&gt;=0,"🔥 GOAL!",IF(I27&gt;=0,"✅ NEED MET","⏳ Building"))</f>
        <v>🔥 GOAL!</v>
      </c>
    </row>
    <row r="28" customFormat="false" ht="19.5" hidden="false" customHeight="true" outlineLevel="0" collapsed="false">
      <c r="A28" s="73" t="n">
        <v>5</v>
      </c>
      <c r="B28" s="73" t="n">
        <f aca="false">$C$13+4</f>
        <v>4</v>
      </c>
      <c r="C28" s="74" t="n">
        <f aca="false">L27</f>
        <v>0</v>
      </c>
      <c r="D28" s="75" t="n">
        <f aca="false">$C$9*(1+$C$10)^4</f>
        <v>0.27060804</v>
      </c>
      <c r="E28" s="76" t="n">
        <f aca="false">C28*D28</f>
        <v>0</v>
      </c>
      <c r="F28" s="74" t="n">
        <f aca="false">IF(B28&gt;=$C$14,$C$15,0)+IF(AND($C$16&gt;0,B28&gt;=$C$16),$C$17,0)</f>
        <v>0</v>
      </c>
      <c r="G28" s="76" t="n">
        <f aca="false">E28+F28</f>
        <v>0</v>
      </c>
      <c r="H28" s="74" t="n">
        <f aca="false">$C$7*12*(1+$C$12)^4</f>
        <v>0</v>
      </c>
      <c r="I28" s="77" t="n">
        <f aca="false">G28-H28</f>
        <v>0</v>
      </c>
      <c r="J28" s="78" t="n">
        <f aca="false">G28-($C$8*12*(1+$C$12)^4)</f>
        <v>0</v>
      </c>
      <c r="K28" s="74" t="n">
        <f aca="false">IF(UPPER($C$19)="YES",MAX(0,I28),0)</f>
        <v>0</v>
      </c>
      <c r="L28" s="74" t="n">
        <f aca="false">(C28+K28)*(1+$C$11)</f>
        <v>0</v>
      </c>
      <c r="M28" s="79" t="str">
        <f aca="false">IF(J28&gt;=0,"🔥 GOAL!",IF(I28&gt;=0,"✅ NEED MET","⏳ Building"))</f>
        <v>🔥 GOAL!</v>
      </c>
    </row>
    <row r="29" customFormat="false" ht="19.5" hidden="false" customHeight="true" outlineLevel="0" collapsed="false">
      <c r="A29" s="80" t="n">
        <v>6</v>
      </c>
      <c r="B29" s="80" t="n">
        <f aca="false">$C$13+5</f>
        <v>5</v>
      </c>
      <c r="C29" s="81" t="n">
        <f aca="false">L28</f>
        <v>0</v>
      </c>
      <c r="D29" s="82" t="n">
        <f aca="false">$C$9*(1+$C$10)^5</f>
        <v>0.2760202008</v>
      </c>
      <c r="E29" s="76" t="n">
        <f aca="false">C29*D29</f>
        <v>0</v>
      </c>
      <c r="F29" s="81" t="n">
        <f aca="false">IF(B29&gt;=$C$14,$C$15,0)+IF(AND($C$16&gt;0,B29&gt;=$C$16),$C$17,0)</f>
        <v>0</v>
      </c>
      <c r="G29" s="76" t="n">
        <f aca="false">E29+F29</f>
        <v>0</v>
      </c>
      <c r="H29" s="81" t="n">
        <f aca="false">$C$7*12*(1+$C$12)^5</f>
        <v>0</v>
      </c>
      <c r="I29" s="83" t="n">
        <f aca="false">G29-H29</f>
        <v>0</v>
      </c>
      <c r="J29" s="84" t="n">
        <f aca="false">G29-($C$8*12*(1+$C$12)^5)</f>
        <v>0</v>
      </c>
      <c r="K29" s="81" t="n">
        <f aca="false">IF(UPPER($C$19)="YES",MAX(0,I29),0)</f>
        <v>0</v>
      </c>
      <c r="L29" s="81" t="n">
        <f aca="false">(C29+K29)*(1+$C$11)</f>
        <v>0</v>
      </c>
      <c r="M29" s="85" t="str">
        <f aca="false">IF(J29&gt;=0,"🔥 GOAL!",IF(I29&gt;=0,"✅ NEED MET","⏳ Building"))</f>
        <v>🔥 GOAL!</v>
      </c>
    </row>
    <row r="30" customFormat="false" ht="19.5" hidden="false" customHeight="true" outlineLevel="0" collapsed="false">
      <c r="A30" s="73" t="n">
        <v>7</v>
      </c>
      <c r="B30" s="73" t="n">
        <f aca="false">$C$13+6</f>
        <v>6</v>
      </c>
      <c r="C30" s="74" t="n">
        <f aca="false">L29</f>
        <v>0</v>
      </c>
      <c r="D30" s="75" t="n">
        <f aca="false">$C$9*(1+$C$10)^6</f>
        <v>0.281540604816</v>
      </c>
      <c r="E30" s="76" t="n">
        <f aca="false">C30*D30</f>
        <v>0</v>
      </c>
      <c r="F30" s="74" t="n">
        <f aca="false">IF(B30&gt;=$C$14,$C$15,0)+IF(AND($C$16&gt;0,B30&gt;=$C$16),$C$17,0)</f>
        <v>0</v>
      </c>
      <c r="G30" s="76" t="n">
        <f aca="false">E30+F30</f>
        <v>0</v>
      </c>
      <c r="H30" s="74" t="n">
        <f aca="false">$C$7*12*(1+$C$12)^6</f>
        <v>0</v>
      </c>
      <c r="I30" s="77" t="n">
        <f aca="false">G30-H30</f>
        <v>0</v>
      </c>
      <c r="J30" s="78" t="n">
        <f aca="false">G30-($C$8*12*(1+$C$12)^6)</f>
        <v>0</v>
      </c>
      <c r="K30" s="74" t="n">
        <f aca="false">IF(UPPER($C$19)="YES",MAX(0,I30),0)</f>
        <v>0</v>
      </c>
      <c r="L30" s="74" t="n">
        <f aca="false">(C30+K30)*(1+$C$11)</f>
        <v>0</v>
      </c>
      <c r="M30" s="79" t="str">
        <f aca="false">IF(J30&gt;=0,"🔥 GOAL!",IF(I30&gt;=0,"✅ NEED MET","⏳ Building"))</f>
        <v>🔥 GOAL!</v>
      </c>
    </row>
    <row r="31" customFormat="false" ht="19.5" hidden="false" customHeight="true" outlineLevel="0" collapsed="false">
      <c r="A31" s="80" t="n">
        <v>8</v>
      </c>
      <c r="B31" s="80" t="n">
        <f aca="false">$C$13+7</f>
        <v>7</v>
      </c>
      <c r="C31" s="81" t="n">
        <f aca="false">L30</f>
        <v>0</v>
      </c>
      <c r="D31" s="82" t="n">
        <f aca="false">$C$9*(1+$C$10)^7</f>
        <v>0.28717141691232</v>
      </c>
      <c r="E31" s="76" t="n">
        <f aca="false">C31*D31</f>
        <v>0</v>
      </c>
      <c r="F31" s="81" t="n">
        <f aca="false">IF(B31&gt;=$C$14,$C$15,0)+IF(AND($C$16&gt;0,B31&gt;=$C$16),$C$17,0)</f>
        <v>0</v>
      </c>
      <c r="G31" s="76" t="n">
        <f aca="false">E31+F31</f>
        <v>0</v>
      </c>
      <c r="H31" s="81" t="n">
        <f aca="false">$C$7*12*(1+$C$12)^7</f>
        <v>0</v>
      </c>
      <c r="I31" s="83" t="n">
        <f aca="false">G31-H31</f>
        <v>0</v>
      </c>
      <c r="J31" s="84" t="n">
        <f aca="false">G31-($C$8*12*(1+$C$12)^7)</f>
        <v>0</v>
      </c>
      <c r="K31" s="81" t="n">
        <f aca="false">IF(UPPER($C$19)="YES",MAX(0,I31),0)</f>
        <v>0</v>
      </c>
      <c r="L31" s="81" t="n">
        <f aca="false">(C31+K31)*(1+$C$11)</f>
        <v>0</v>
      </c>
      <c r="M31" s="85" t="str">
        <f aca="false">IF(J31&gt;=0,"🔥 GOAL!",IF(I31&gt;=0,"✅ NEED MET","⏳ Building"))</f>
        <v>🔥 GOAL!</v>
      </c>
    </row>
    <row r="32" customFormat="false" ht="19.5" hidden="false" customHeight="true" outlineLevel="0" collapsed="false">
      <c r="A32" s="73" t="n">
        <v>9</v>
      </c>
      <c r="B32" s="73" t="n">
        <f aca="false">$C$13+8</f>
        <v>8</v>
      </c>
      <c r="C32" s="74" t="n">
        <f aca="false">L31</f>
        <v>0</v>
      </c>
      <c r="D32" s="75" t="n">
        <f aca="false">$C$9*(1+$C$10)^8</f>
        <v>0.292914845250566</v>
      </c>
      <c r="E32" s="76" t="n">
        <f aca="false">C32*D32</f>
        <v>0</v>
      </c>
      <c r="F32" s="74" t="n">
        <f aca="false">IF(B32&gt;=$C$14,$C$15,0)+IF(AND($C$16&gt;0,B32&gt;=$C$16),$C$17,0)</f>
        <v>0</v>
      </c>
      <c r="G32" s="76" t="n">
        <f aca="false">E32+F32</f>
        <v>0</v>
      </c>
      <c r="H32" s="74" t="n">
        <f aca="false">$C$7*12*(1+$C$12)^8</f>
        <v>0</v>
      </c>
      <c r="I32" s="77" t="n">
        <f aca="false">G32-H32</f>
        <v>0</v>
      </c>
      <c r="J32" s="78" t="n">
        <f aca="false">G32-($C$8*12*(1+$C$12)^8)</f>
        <v>0</v>
      </c>
      <c r="K32" s="74" t="n">
        <f aca="false">IF(UPPER($C$19)="YES",MAX(0,I32),0)</f>
        <v>0</v>
      </c>
      <c r="L32" s="74" t="n">
        <f aca="false">(C32+K32)*(1+$C$11)</f>
        <v>0</v>
      </c>
      <c r="M32" s="79" t="str">
        <f aca="false">IF(J32&gt;=0,"🔥 GOAL!",IF(I32&gt;=0,"✅ NEED MET","⏳ Building"))</f>
        <v>🔥 GOAL!</v>
      </c>
    </row>
    <row r="33" customFormat="false" ht="19.5" hidden="false" customHeight="true" outlineLevel="0" collapsed="false">
      <c r="A33" s="80" t="n">
        <v>10</v>
      </c>
      <c r="B33" s="80" t="n">
        <f aca="false">$C$13+9</f>
        <v>9</v>
      </c>
      <c r="C33" s="81" t="n">
        <f aca="false">L32</f>
        <v>0</v>
      </c>
      <c r="D33" s="82" t="n">
        <f aca="false">$C$9*(1+$C$10)^9</f>
        <v>0.298773142155578</v>
      </c>
      <c r="E33" s="76" t="n">
        <f aca="false">C33*D33</f>
        <v>0</v>
      </c>
      <c r="F33" s="81" t="n">
        <f aca="false">IF(B33&gt;=$C$14,$C$15,0)+IF(AND($C$16&gt;0,B33&gt;=$C$16),$C$17,0)</f>
        <v>0</v>
      </c>
      <c r="G33" s="76" t="n">
        <f aca="false">E33+F33</f>
        <v>0</v>
      </c>
      <c r="H33" s="81" t="n">
        <f aca="false">$C$7*12*(1+$C$12)^9</f>
        <v>0</v>
      </c>
      <c r="I33" s="83" t="n">
        <f aca="false">G33-H33</f>
        <v>0</v>
      </c>
      <c r="J33" s="84" t="n">
        <f aca="false">G33-($C$8*12*(1+$C$12)^9)</f>
        <v>0</v>
      </c>
      <c r="K33" s="81" t="n">
        <f aca="false">IF(UPPER($C$19)="YES",MAX(0,I33),0)</f>
        <v>0</v>
      </c>
      <c r="L33" s="81" t="n">
        <f aca="false">(C33+K33)*(1+$C$11)</f>
        <v>0</v>
      </c>
      <c r="M33" s="85" t="str">
        <f aca="false">IF(J33&gt;=0,"🔥 GOAL!",IF(I33&gt;=0,"✅ NEED MET","⏳ Building"))</f>
        <v>🔥 GOAL!</v>
      </c>
    </row>
    <row r="34" customFormat="false" ht="19.5" hidden="false" customHeight="true" outlineLevel="0" collapsed="false">
      <c r="A34" s="73" t="n">
        <v>11</v>
      </c>
      <c r="B34" s="73" t="n">
        <f aca="false">$C$13+10</f>
        <v>10</v>
      </c>
      <c r="C34" s="74" t="n">
        <f aca="false">L33</f>
        <v>0</v>
      </c>
      <c r="D34" s="75" t="n">
        <f aca="false">$C$9*(1+$C$10)^10</f>
        <v>0.304748604998689</v>
      </c>
      <c r="E34" s="76" t="n">
        <f aca="false">C34*D34</f>
        <v>0</v>
      </c>
      <c r="F34" s="74" t="n">
        <f aca="false">IF(B34&gt;=$C$14,$C$15,0)+IF(AND($C$16&gt;0,B34&gt;=$C$16),$C$17,0)</f>
        <v>0</v>
      </c>
      <c r="G34" s="76" t="n">
        <f aca="false">E34+F34</f>
        <v>0</v>
      </c>
      <c r="H34" s="74" t="n">
        <f aca="false">$C$7*12*(1+$C$12)^10</f>
        <v>0</v>
      </c>
      <c r="I34" s="77" t="n">
        <f aca="false">G34-H34</f>
        <v>0</v>
      </c>
      <c r="J34" s="78" t="n">
        <f aca="false">G34-($C$8*12*(1+$C$12)^10)</f>
        <v>0</v>
      </c>
      <c r="K34" s="74" t="n">
        <f aca="false">IF(UPPER($C$19)="YES",MAX(0,I34),0)</f>
        <v>0</v>
      </c>
      <c r="L34" s="74" t="n">
        <f aca="false">(C34+K34)*(1+$C$11)</f>
        <v>0</v>
      </c>
      <c r="M34" s="79" t="str">
        <f aca="false">IF(J34&gt;=0,"🔥 GOAL!",IF(I34&gt;=0,"✅ NEED MET","⏳ Building"))</f>
        <v>🔥 GOAL!</v>
      </c>
    </row>
    <row r="35" customFormat="false" ht="19.5" hidden="false" customHeight="true" outlineLevel="0" collapsed="false">
      <c r="A35" s="80" t="n">
        <v>12</v>
      </c>
      <c r="B35" s="80" t="n">
        <f aca="false">$C$13+11</f>
        <v>11</v>
      </c>
      <c r="C35" s="81" t="n">
        <f aca="false">L34</f>
        <v>0</v>
      </c>
      <c r="D35" s="82" t="n">
        <f aca="false">$C$9*(1+$C$10)^11</f>
        <v>0.310843577098663</v>
      </c>
      <c r="E35" s="76" t="n">
        <f aca="false">C35*D35</f>
        <v>0</v>
      </c>
      <c r="F35" s="81" t="n">
        <f aca="false">IF(B35&gt;=$C$14,$C$15,0)+IF(AND($C$16&gt;0,B35&gt;=$C$16),$C$17,0)</f>
        <v>0</v>
      </c>
      <c r="G35" s="76" t="n">
        <f aca="false">E35+F35</f>
        <v>0</v>
      </c>
      <c r="H35" s="81" t="n">
        <f aca="false">$C$7*12*(1+$C$12)^11</f>
        <v>0</v>
      </c>
      <c r="I35" s="83" t="n">
        <f aca="false">G35-H35</f>
        <v>0</v>
      </c>
      <c r="J35" s="84" t="n">
        <f aca="false">G35-($C$8*12*(1+$C$12)^11)</f>
        <v>0</v>
      </c>
      <c r="K35" s="81" t="n">
        <f aca="false">IF(UPPER($C$19)="YES",MAX(0,I35),0)</f>
        <v>0</v>
      </c>
      <c r="L35" s="81" t="n">
        <f aca="false">(C35+K35)*(1+$C$11)</f>
        <v>0</v>
      </c>
      <c r="M35" s="85" t="str">
        <f aca="false">IF(J35&gt;=0,"🔥 GOAL!",IF(I35&gt;=0,"✅ NEED MET","⏳ Building"))</f>
        <v>🔥 GOAL!</v>
      </c>
    </row>
    <row r="36" customFormat="false" ht="19.5" hidden="false" customHeight="true" outlineLevel="0" collapsed="false">
      <c r="A36" s="73" t="n">
        <v>13</v>
      </c>
      <c r="B36" s="73" t="n">
        <f aca="false">$C$13+12</f>
        <v>12</v>
      </c>
      <c r="C36" s="74" t="n">
        <f aca="false">L35</f>
        <v>0</v>
      </c>
      <c r="D36" s="75" t="n">
        <f aca="false">$C$9*(1+$C$10)^12</f>
        <v>0.317060448640636</v>
      </c>
      <c r="E36" s="76" t="n">
        <f aca="false">C36*D36</f>
        <v>0</v>
      </c>
      <c r="F36" s="74" t="n">
        <f aca="false">IF(B36&gt;=$C$14,$C$15,0)+IF(AND($C$16&gt;0,B36&gt;=$C$16),$C$17,0)</f>
        <v>0</v>
      </c>
      <c r="G36" s="76" t="n">
        <f aca="false">E36+F36</f>
        <v>0</v>
      </c>
      <c r="H36" s="74" t="n">
        <f aca="false">$C$7*12*(1+$C$12)^12</f>
        <v>0</v>
      </c>
      <c r="I36" s="77" t="n">
        <f aca="false">G36-H36</f>
        <v>0</v>
      </c>
      <c r="J36" s="78" t="n">
        <f aca="false">G36-($C$8*12*(1+$C$12)^12)</f>
        <v>0</v>
      </c>
      <c r="K36" s="74" t="n">
        <f aca="false">IF(UPPER($C$19)="YES",MAX(0,I36),0)</f>
        <v>0</v>
      </c>
      <c r="L36" s="74" t="n">
        <f aca="false">(C36+K36)*(1+$C$11)</f>
        <v>0</v>
      </c>
      <c r="M36" s="79" t="str">
        <f aca="false">IF(J36&gt;=0,"🔥 GOAL!",IF(I36&gt;=0,"✅ NEED MET","⏳ Building"))</f>
        <v>🔥 GOAL!</v>
      </c>
    </row>
    <row r="37" customFormat="false" ht="19.5" hidden="false" customHeight="true" outlineLevel="0" collapsed="false">
      <c r="A37" s="80" t="n">
        <v>14</v>
      </c>
      <c r="B37" s="80" t="n">
        <f aca="false">$C$13+13</f>
        <v>13</v>
      </c>
      <c r="C37" s="81" t="n">
        <f aca="false">L36</f>
        <v>0</v>
      </c>
      <c r="D37" s="82" t="n">
        <f aca="false">$C$9*(1+$C$10)^13</f>
        <v>0.323401657613449</v>
      </c>
      <c r="E37" s="76" t="n">
        <f aca="false">C37*D37</f>
        <v>0</v>
      </c>
      <c r="F37" s="81" t="n">
        <f aca="false">IF(B37&gt;=$C$14,$C$15,0)+IF(AND($C$16&gt;0,B37&gt;=$C$16),$C$17,0)</f>
        <v>0</v>
      </c>
      <c r="G37" s="76" t="n">
        <f aca="false">E37+F37</f>
        <v>0</v>
      </c>
      <c r="H37" s="81" t="n">
        <f aca="false">$C$7*12*(1+$C$12)^13</f>
        <v>0</v>
      </c>
      <c r="I37" s="83" t="n">
        <f aca="false">G37-H37</f>
        <v>0</v>
      </c>
      <c r="J37" s="84" t="n">
        <f aca="false">G37-($C$8*12*(1+$C$12)^13)</f>
        <v>0</v>
      </c>
      <c r="K37" s="81" t="n">
        <f aca="false">IF(UPPER($C$19)="YES",MAX(0,I37),0)</f>
        <v>0</v>
      </c>
      <c r="L37" s="81" t="n">
        <f aca="false">(C37+K37)*(1+$C$11)</f>
        <v>0</v>
      </c>
      <c r="M37" s="85" t="str">
        <f aca="false">IF(J37&gt;=0,"🔥 GOAL!",IF(I37&gt;=0,"✅ NEED MET","⏳ Building"))</f>
        <v>🔥 GOAL!</v>
      </c>
    </row>
    <row r="38" customFormat="false" ht="19.5" hidden="false" customHeight="true" outlineLevel="0" collapsed="false">
      <c r="A38" s="73" t="n">
        <v>15</v>
      </c>
      <c r="B38" s="73" t="n">
        <f aca="false">$C$13+14</f>
        <v>14</v>
      </c>
      <c r="C38" s="74" t="n">
        <f aca="false">L37</f>
        <v>0</v>
      </c>
      <c r="D38" s="75" t="n">
        <f aca="false">$C$9*(1+$C$10)^14</f>
        <v>0.329869690765718</v>
      </c>
      <c r="E38" s="76" t="n">
        <f aca="false">C38*D38</f>
        <v>0</v>
      </c>
      <c r="F38" s="74" t="n">
        <f aca="false">IF(B38&gt;=$C$14,$C$15,0)+IF(AND($C$16&gt;0,B38&gt;=$C$16),$C$17,0)</f>
        <v>0</v>
      </c>
      <c r="G38" s="76" t="n">
        <f aca="false">E38+F38</f>
        <v>0</v>
      </c>
      <c r="H38" s="74" t="n">
        <f aca="false">$C$7*12*(1+$C$12)^14</f>
        <v>0</v>
      </c>
      <c r="I38" s="77" t="n">
        <f aca="false">G38-H38</f>
        <v>0</v>
      </c>
      <c r="J38" s="78" t="n">
        <f aca="false">G38-($C$8*12*(1+$C$12)^14)</f>
        <v>0</v>
      </c>
      <c r="K38" s="74" t="n">
        <f aca="false">IF(UPPER($C$19)="YES",MAX(0,I38),0)</f>
        <v>0</v>
      </c>
      <c r="L38" s="74" t="n">
        <f aca="false">(C38+K38)*(1+$C$11)</f>
        <v>0</v>
      </c>
      <c r="M38" s="79" t="str">
        <f aca="false">IF(J38&gt;=0,"🔥 GOAL!",IF(I38&gt;=0,"✅ NEED MET","⏳ Building"))</f>
        <v>🔥 GOAL!</v>
      </c>
    </row>
    <row r="39" customFormat="false" ht="19.5" hidden="false" customHeight="true" outlineLevel="0" collapsed="false">
      <c r="A39" s="80" t="n">
        <v>16</v>
      </c>
      <c r="B39" s="80" t="n">
        <f aca="false">$C$13+15</f>
        <v>15</v>
      </c>
      <c r="C39" s="81" t="n">
        <f aca="false">L38</f>
        <v>0</v>
      </c>
      <c r="D39" s="82" t="n">
        <f aca="false">$C$9*(1+$C$10)^15</f>
        <v>0.336467084581032</v>
      </c>
      <c r="E39" s="76" t="n">
        <f aca="false">C39*D39</f>
        <v>0</v>
      </c>
      <c r="F39" s="81" t="n">
        <f aca="false">IF(B39&gt;=$C$14,$C$15,0)+IF(AND($C$16&gt;0,B39&gt;=$C$16),$C$17,0)</f>
        <v>0</v>
      </c>
      <c r="G39" s="76" t="n">
        <f aca="false">E39+F39</f>
        <v>0</v>
      </c>
      <c r="H39" s="81" t="n">
        <f aca="false">$C$7*12*(1+$C$12)^15</f>
        <v>0</v>
      </c>
      <c r="I39" s="83" t="n">
        <f aca="false">G39-H39</f>
        <v>0</v>
      </c>
      <c r="J39" s="84" t="n">
        <f aca="false">G39-($C$8*12*(1+$C$12)^15)</f>
        <v>0</v>
      </c>
      <c r="K39" s="81" t="n">
        <f aca="false">IF(UPPER($C$19)="YES",MAX(0,I39),0)</f>
        <v>0</v>
      </c>
      <c r="L39" s="81" t="n">
        <f aca="false">(C39+K39)*(1+$C$11)</f>
        <v>0</v>
      </c>
      <c r="M39" s="85" t="str">
        <f aca="false">IF(J39&gt;=0,"🔥 GOAL!",IF(I39&gt;=0,"✅ NEED MET","⏳ Building"))</f>
        <v>🔥 GOAL!</v>
      </c>
    </row>
    <row r="40" customFormat="false" ht="19.5" hidden="false" customHeight="true" outlineLevel="0" collapsed="false">
      <c r="A40" s="73" t="n">
        <v>17</v>
      </c>
      <c r="B40" s="73" t="n">
        <f aca="false">$C$13+16</f>
        <v>16</v>
      </c>
      <c r="C40" s="74" t="n">
        <f aca="false">L39</f>
        <v>0</v>
      </c>
      <c r="D40" s="75" t="n">
        <f aca="false">$C$9*(1+$C$10)^16</f>
        <v>0.343196426272653</v>
      </c>
      <c r="E40" s="76" t="n">
        <f aca="false">C40*D40</f>
        <v>0</v>
      </c>
      <c r="F40" s="74" t="n">
        <f aca="false">IF(B40&gt;=$C$14,$C$15,0)+IF(AND($C$16&gt;0,B40&gt;=$C$16),$C$17,0)</f>
        <v>0</v>
      </c>
      <c r="G40" s="76" t="n">
        <f aca="false">E40+F40</f>
        <v>0</v>
      </c>
      <c r="H40" s="74" t="n">
        <f aca="false">$C$7*12*(1+$C$12)^16</f>
        <v>0</v>
      </c>
      <c r="I40" s="77" t="n">
        <f aca="false">G40-H40</f>
        <v>0</v>
      </c>
      <c r="J40" s="78" t="n">
        <f aca="false">G40-($C$8*12*(1+$C$12)^16)</f>
        <v>0</v>
      </c>
      <c r="K40" s="74" t="n">
        <f aca="false">IF(UPPER($C$19)="YES",MAX(0,I40),0)</f>
        <v>0</v>
      </c>
      <c r="L40" s="74" t="n">
        <f aca="false">(C40+K40)*(1+$C$11)</f>
        <v>0</v>
      </c>
      <c r="M40" s="79" t="str">
        <f aca="false">IF(J40&gt;=0,"🔥 GOAL!",IF(I40&gt;=0,"✅ NEED MET","⏳ Building"))</f>
        <v>🔥 GOAL!</v>
      </c>
    </row>
    <row r="41" customFormat="false" ht="19.5" hidden="false" customHeight="true" outlineLevel="0" collapsed="false">
      <c r="A41" s="80" t="n">
        <v>18</v>
      </c>
      <c r="B41" s="80" t="n">
        <f aca="false">$C$13+17</f>
        <v>17</v>
      </c>
      <c r="C41" s="81" t="n">
        <f aca="false">L40</f>
        <v>0</v>
      </c>
      <c r="D41" s="82" t="n">
        <f aca="false">$C$9*(1+$C$10)^17</f>
        <v>0.350060354798106</v>
      </c>
      <c r="E41" s="76" t="n">
        <f aca="false">C41*D41</f>
        <v>0</v>
      </c>
      <c r="F41" s="81" t="n">
        <f aca="false">IF(B41&gt;=$C$14,$C$15,0)+IF(AND($C$16&gt;0,B41&gt;=$C$16),$C$17,0)</f>
        <v>0</v>
      </c>
      <c r="G41" s="76" t="n">
        <f aca="false">E41+F41</f>
        <v>0</v>
      </c>
      <c r="H41" s="81" t="n">
        <f aca="false">$C$7*12*(1+$C$12)^17</f>
        <v>0</v>
      </c>
      <c r="I41" s="83" t="n">
        <f aca="false">G41-H41</f>
        <v>0</v>
      </c>
      <c r="J41" s="84" t="n">
        <f aca="false">G41-($C$8*12*(1+$C$12)^17)</f>
        <v>0</v>
      </c>
      <c r="K41" s="81" t="n">
        <f aca="false">IF(UPPER($C$19)="YES",MAX(0,I41),0)</f>
        <v>0</v>
      </c>
      <c r="L41" s="81" t="n">
        <f aca="false">(C41+K41)*(1+$C$11)</f>
        <v>0</v>
      </c>
      <c r="M41" s="85" t="str">
        <f aca="false">IF(J41&gt;=0,"🔥 GOAL!",IF(I41&gt;=0,"✅ NEED MET","⏳ Building"))</f>
        <v>🔥 GOAL!</v>
      </c>
    </row>
    <row r="42" customFormat="false" ht="19.5" hidden="false" customHeight="true" outlineLevel="0" collapsed="false">
      <c r="A42" s="73" t="n">
        <v>19</v>
      </c>
      <c r="B42" s="73" t="n">
        <f aca="false">$C$13+18</f>
        <v>18</v>
      </c>
      <c r="C42" s="74" t="n">
        <f aca="false">L41</f>
        <v>0</v>
      </c>
      <c r="D42" s="75" t="n">
        <f aca="false">$C$9*(1+$C$10)^18</f>
        <v>0.357061561894068</v>
      </c>
      <c r="E42" s="76" t="n">
        <f aca="false">C42*D42</f>
        <v>0</v>
      </c>
      <c r="F42" s="74" t="n">
        <f aca="false">IF(B42&gt;=$C$14,$C$15,0)+IF(AND($C$16&gt;0,B42&gt;=$C$16),$C$17,0)</f>
        <v>0</v>
      </c>
      <c r="G42" s="76" t="n">
        <f aca="false">E42+F42</f>
        <v>0</v>
      </c>
      <c r="H42" s="74" t="n">
        <f aca="false">$C$7*12*(1+$C$12)^18</f>
        <v>0</v>
      </c>
      <c r="I42" s="77" t="n">
        <f aca="false">G42-H42</f>
        <v>0</v>
      </c>
      <c r="J42" s="78" t="n">
        <f aca="false">G42-($C$8*12*(1+$C$12)^18)</f>
        <v>0</v>
      </c>
      <c r="K42" s="74" t="n">
        <f aca="false">IF(UPPER($C$19)="YES",MAX(0,I42),0)</f>
        <v>0</v>
      </c>
      <c r="L42" s="74" t="n">
        <f aca="false">(C42+K42)*(1+$C$11)</f>
        <v>0</v>
      </c>
      <c r="M42" s="79" t="str">
        <f aca="false">IF(J42&gt;=0,"🔥 GOAL!",IF(I42&gt;=0,"✅ NEED MET","⏳ Building"))</f>
        <v>🔥 GOAL!</v>
      </c>
    </row>
    <row r="43" customFormat="false" ht="19.5" hidden="false" customHeight="true" outlineLevel="0" collapsed="false">
      <c r="A43" s="80" t="n">
        <v>20</v>
      </c>
      <c r="B43" s="80" t="n">
        <f aca="false">$C$13+19</f>
        <v>19</v>
      </c>
      <c r="C43" s="81" t="n">
        <f aca="false">L42</f>
        <v>0</v>
      </c>
      <c r="D43" s="82" t="n">
        <f aca="false">$C$9*(1+$C$10)^19</f>
        <v>0.36420279313195</v>
      </c>
      <c r="E43" s="76" t="n">
        <f aca="false">C43*D43</f>
        <v>0</v>
      </c>
      <c r="F43" s="81" t="n">
        <f aca="false">IF(B43&gt;=$C$14,$C$15,0)+IF(AND($C$16&gt;0,B43&gt;=$C$16),$C$17,0)</f>
        <v>0</v>
      </c>
      <c r="G43" s="76" t="n">
        <f aca="false">E43+F43</f>
        <v>0</v>
      </c>
      <c r="H43" s="81" t="n">
        <f aca="false">$C$7*12*(1+$C$12)^19</f>
        <v>0</v>
      </c>
      <c r="I43" s="83" t="n">
        <f aca="false">G43-H43</f>
        <v>0</v>
      </c>
      <c r="J43" s="84" t="n">
        <f aca="false">G43-($C$8*12*(1+$C$12)^19)</f>
        <v>0</v>
      </c>
      <c r="K43" s="81" t="n">
        <f aca="false">IF(UPPER($C$19)="YES",MAX(0,I43),0)</f>
        <v>0</v>
      </c>
      <c r="L43" s="81" t="n">
        <f aca="false">(C43+K43)*(1+$C$11)</f>
        <v>0</v>
      </c>
      <c r="M43" s="85" t="str">
        <f aca="false">IF(J43&gt;=0,"🔥 GOAL!",IF(I43&gt;=0,"✅ NEED MET","⏳ Building"))</f>
        <v>🔥 GOAL!</v>
      </c>
    </row>
    <row r="44" customFormat="false" ht="19.5" hidden="false" customHeight="true" outlineLevel="0" collapsed="false">
      <c r="A44" s="73" t="n">
        <v>21</v>
      </c>
      <c r="B44" s="73" t="n">
        <f aca="false">$C$13+20</f>
        <v>20</v>
      </c>
      <c r="C44" s="74" t="n">
        <f aca="false">L43</f>
        <v>0</v>
      </c>
      <c r="D44" s="75" t="n">
        <f aca="false">$C$9*(1+$C$10)^20</f>
        <v>0.371486848994589</v>
      </c>
      <c r="E44" s="76" t="n">
        <f aca="false">C44*D44</f>
        <v>0</v>
      </c>
      <c r="F44" s="74" t="n">
        <f aca="false">IF(B44&gt;=$C$14,$C$15,0)+IF(AND($C$16&gt;0,B44&gt;=$C$16),$C$17,0)</f>
        <v>0</v>
      </c>
      <c r="G44" s="76" t="n">
        <f aca="false">E44+F44</f>
        <v>0</v>
      </c>
      <c r="H44" s="74" t="n">
        <f aca="false">$C$7*12*(1+$C$12)^20</f>
        <v>0</v>
      </c>
      <c r="I44" s="77" t="n">
        <f aca="false">G44-H44</f>
        <v>0</v>
      </c>
      <c r="J44" s="78" t="n">
        <f aca="false">G44-($C$8*12*(1+$C$12)^20)</f>
        <v>0</v>
      </c>
      <c r="K44" s="74" t="n">
        <f aca="false">IF(UPPER($C$19)="YES",MAX(0,I44),0)</f>
        <v>0</v>
      </c>
      <c r="L44" s="74" t="n">
        <f aca="false">(C44+K44)*(1+$C$11)</f>
        <v>0</v>
      </c>
      <c r="M44" s="79" t="str">
        <f aca="false">IF(J44&gt;=0,"🔥 GOAL!",IF(I44&gt;=0,"✅ NEED MET","⏳ Building"))</f>
        <v>🔥 GOAL!</v>
      </c>
    </row>
    <row r="45" customFormat="false" ht="19.5" hidden="false" customHeight="true" outlineLevel="0" collapsed="false">
      <c r="A45" s="80" t="n">
        <v>22</v>
      </c>
      <c r="B45" s="80" t="n">
        <f aca="false">$C$13+21</f>
        <v>21</v>
      </c>
      <c r="C45" s="81" t="n">
        <f aca="false">L44</f>
        <v>0</v>
      </c>
      <c r="D45" s="82" t="n">
        <f aca="false">$C$9*(1+$C$10)^21</f>
        <v>0.37891658597448</v>
      </c>
      <c r="E45" s="76" t="n">
        <f aca="false">C45*D45</f>
        <v>0</v>
      </c>
      <c r="F45" s="81" t="n">
        <f aca="false">IF(B45&gt;=$C$14,$C$15,0)+IF(AND($C$16&gt;0,B45&gt;=$C$16),$C$17,0)</f>
        <v>0</v>
      </c>
      <c r="G45" s="76" t="n">
        <f aca="false">E45+F45</f>
        <v>0</v>
      </c>
      <c r="H45" s="81" t="n">
        <f aca="false">$C$7*12*(1+$C$12)^21</f>
        <v>0</v>
      </c>
      <c r="I45" s="83" t="n">
        <f aca="false">G45-H45</f>
        <v>0</v>
      </c>
      <c r="J45" s="84" t="n">
        <f aca="false">G45-($C$8*12*(1+$C$12)^21)</f>
        <v>0</v>
      </c>
      <c r="K45" s="81" t="n">
        <f aca="false">IF(UPPER($C$19)="YES",MAX(0,I45),0)</f>
        <v>0</v>
      </c>
      <c r="L45" s="81" t="n">
        <f aca="false">(C45+K45)*(1+$C$11)</f>
        <v>0</v>
      </c>
      <c r="M45" s="85" t="str">
        <f aca="false">IF(J45&gt;=0,"🔥 GOAL!",IF(I45&gt;=0,"✅ NEED MET","⏳ Building"))</f>
        <v>🔥 GOAL!</v>
      </c>
    </row>
    <row r="46" customFormat="false" ht="19.5" hidden="false" customHeight="true" outlineLevel="0" collapsed="false">
      <c r="A46" s="73" t="n">
        <v>23</v>
      </c>
      <c r="B46" s="73" t="n">
        <f aca="false">$C$13+22</f>
        <v>22</v>
      </c>
      <c r="C46" s="74" t="n">
        <f aca="false">L45</f>
        <v>0</v>
      </c>
      <c r="D46" s="75" t="n">
        <f aca="false">$C$9*(1+$C$10)^22</f>
        <v>0.38649491769397</v>
      </c>
      <c r="E46" s="76" t="n">
        <f aca="false">C46*D46</f>
        <v>0</v>
      </c>
      <c r="F46" s="74" t="n">
        <f aca="false">IF(B46&gt;=$C$14,$C$15,0)+IF(AND($C$16&gt;0,B46&gt;=$C$16),$C$17,0)</f>
        <v>0</v>
      </c>
      <c r="G46" s="76" t="n">
        <f aca="false">E46+F46</f>
        <v>0</v>
      </c>
      <c r="H46" s="74" t="n">
        <f aca="false">$C$7*12*(1+$C$12)^22</f>
        <v>0</v>
      </c>
      <c r="I46" s="77" t="n">
        <f aca="false">G46-H46</f>
        <v>0</v>
      </c>
      <c r="J46" s="78" t="n">
        <f aca="false">G46-($C$8*12*(1+$C$12)^22)</f>
        <v>0</v>
      </c>
      <c r="K46" s="74" t="n">
        <f aca="false">IF(UPPER($C$19)="YES",MAX(0,I46),0)</f>
        <v>0</v>
      </c>
      <c r="L46" s="74" t="n">
        <f aca="false">(C46+K46)*(1+$C$11)</f>
        <v>0</v>
      </c>
      <c r="M46" s="79" t="str">
        <f aca="false">IF(J46&gt;=0,"🔥 GOAL!",IF(I46&gt;=0,"✅ NEED MET","⏳ Building"))</f>
        <v>🔥 GOAL!</v>
      </c>
    </row>
    <row r="47" customFormat="false" ht="19.5" hidden="false" customHeight="true" outlineLevel="0" collapsed="false">
      <c r="A47" s="80" t="n">
        <v>24</v>
      </c>
      <c r="B47" s="80" t="n">
        <f aca="false">$C$13+23</f>
        <v>23</v>
      </c>
      <c r="C47" s="81" t="n">
        <f aca="false">L46</f>
        <v>0</v>
      </c>
      <c r="D47" s="82" t="n">
        <f aca="false">$C$9*(1+$C$10)^23</f>
        <v>0.39422481604785</v>
      </c>
      <c r="E47" s="76" t="n">
        <f aca="false">C47*D47</f>
        <v>0</v>
      </c>
      <c r="F47" s="81" t="n">
        <f aca="false">IF(B47&gt;=$C$14,$C$15,0)+IF(AND($C$16&gt;0,B47&gt;=$C$16),$C$17,0)</f>
        <v>0</v>
      </c>
      <c r="G47" s="76" t="n">
        <f aca="false">E47+F47</f>
        <v>0</v>
      </c>
      <c r="H47" s="81" t="n">
        <f aca="false">$C$7*12*(1+$C$12)^23</f>
        <v>0</v>
      </c>
      <c r="I47" s="83" t="n">
        <f aca="false">G47-H47</f>
        <v>0</v>
      </c>
      <c r="J47" s="84" t="n">
        <f aca="false">G47-($C$8*12*(1+$C$12)^23)</f>
        <v>0</v>
      </c>
      <c r="K47" s="81" t="n">
        <f aca="false">IF(UPPER($C$19)="YES",MAX(0,I47),0)</f>
        <v>0</v>
      </c>
      <c r="L47" s="81" t="n">
        <f aca="false">(C47+K47)*(1+$C$11)</f>
        <v>0</v>
      </c>
      <c r="M47" s="85" t="str">
        <f aca="false">IF(J47&gt;=0,"🔥 GOAL!",IF(I47&gt;=0,"✅ NEED MET","⏳ Building"))</f>
        <v>🔥 GOAL!</v>
      </c>
    </row>
    <row r="48" customFormat="false" ht="19.5" hidden="false" customHeight="true" outlineLevel="0" collapsed="false">
      <c r="A48" s="73" t="n">
        <v>25</v>
      </c>
      <c r="B48" s="73" t="n">
        <f aca="false">$C$13+24</f>
        <v>24</v>
      </c>
      <c r="C48" s="74" t="n">
        <f aca="false">L47</f>
        <v>0</v>
      </c>
      <c r="D48" s="75" t="n">
        <f aca="false">$C$9*(1+$C$10)^24</f>
        <v>0.402109312368807</v>
      </c>
      <c r="E48" s="76" t="n">
        <f aca="false">C48*D48</f>
        <v>0</v>
      </c>
      <c r="F48" s="74" t="n">
        <f aca="false">IF(B48&gt;=$C$14,$C$15,0)+IF(AND($C$16&gt;0,B48&gt;=$C$16),$C$17,0)</f>
        <v>0</v>
      </c>
      <c r="G48" s="76" t="n">
        <f aca="false">E48+F48</f>
        <v>0</v>
      </c>
      <c r="H48" s="74" t="n">
        <f aca="false">$C$7*12*(1+$C$12)^24</f>
        <v>0</v>
      </c>
      <c r="I48" s="77" t="n">
        <f aca="false">G48-H48</f>
        <v>0</v>
      </c>
      <c r="J48" s="78" t="n">
        <f aca="false">G48-($C$8*12*(1+$C$12)^24)</f>
        <v>0</v>
      </c>
      <c r="K48" s="74" t="n">
        <f aca="false">IF(UPPER($C$19)="YES",MAX(0,I48),0)</f>
        <v>0</v>
      </c>
      <c r="L48" s="74" t="n">
        <f aca="false">(C48+K48)*(1+$C$11)</f>
        <v>0</v>
      </c>
      <c r="M48" s="79" t="str">
        <f aca="false">IF(J48&gt;=0,"🔥 GOAL!",IF(I48&gt;=0,"✅ NEED MET","⏳ Building"))</f>
        <v>🔥 GOAL!</v>
      </c>
    </row>
    <row r="49" customFormat="false" ht="19.5" hidden="false" customHeight="true" outlineLevel="0" collapsed="false">
      <c r="A49" s="80" t="n">
        <v>26</v>
      </c>
      <c r="B49" s="80" t="n">
        <f aca="false">$C$13+25</f>
        <v>25</v>
      </c>
      <c r="C49" s="81" t="n">
        <f aca="false">L48</f>
        <v>0</v>
      </c>
      <c r="D49" s="82" t="n">
        <f aca="false">$C$9*(1+$C$10)^25</f>
        <v>0.410151498616183</v>
      </c>
      <c r="E49" s="76" t="n">
        <f aca="false">C49*D49</f>
        <v>0</v>
      </c>
      <c r="F49" s="81" t="n">
        <f aca="false">IF(B49&gt;=$C$14,$C$15,0)+IF(AND($C$16&gt;0,B49&gt;=$C$16),$C$17,0)</f>
        <v>0</v>
      </c>
      <c r="G49" s="76" t="n">
        <f aca="false">E49+F49</f>
        <v>0</v>
      </c>
      <c r="H49" s="81" t="n">
        <f aca="false">$C$7*12*(1+$C$12)^25</f>
        <v>0</v>
      </c>
      <c r="I49" s="83" t="n">
        <f aca="false">G49-H49</f>
        <v>0</v>
      </c>
      <c r="J49" s="84" t="n">
        <f aca="false">G49-($C$8*12*(1+$C$12)^25)</f>
        <v>0</v>
      </c>
      <c r="K49" s="81" t="n">
        <f aca="false">IF(UPPER($C$19)="YES",MAX(0,I49),0)</f>
        <v>0</v>
      </c>
      <c r="L49" s="81" t="n">
        <f aca="false">(C49+K49)*(1+$C$11)</f>
        <v>0</v>
      </c>
      <c r="M49" s="85" t="str">
        <f aca="false">IF(J49&gt;=0,"🔥 GOAL!",IF(I49&gt;=0,"✅ NEED MET","⏳ Building"))</f>
        <v>🔥 GOAL!</v>
      </c>
    </row>
    <row r="50" customFormat="false" ht="19.5" hidden="false" customHeight="true" outlineLevel="0" collapsed="false">
      <c r="A50" s="73" t="n">
        <v>27</v>
      </c>
      <c r="B50" s="73" t="n">
        <f aca="false">$C$13+26</f>
        <v>26</v>
      </c>
      <c r="C50" s="74" t="n">
        <f aca="false">L49</f>
        <v>0</v>
      </c>
      <c r="D50" s="75" t="n">
        <f aca="false">$C$9*(1+$C$10)^26</f>
        <v>0.418354528588506</v>
      </c>
      <c r="E50" s="76" t="n">
        <f aca="false">C50*D50</f>
        <v>0</v>
      </c>
      <c r="F50" s="74" t="n">
        <f aca="false">IF(B50&gt;=$C$14,$C$15,0)+IF(AND($C$16&gt;0,B50&gt;=$C$16),$C$17,0)</f>
        <v>0</v>
      </c>
      <c r="G50" s="76" t="n">
        <f aca="false">E50+F50</f>
        <v>0</v>
      </c>
      <c r="H50" s="74" t="n">
        <f aca="false">$C$7*12*(1+$C$12)^26</f>
        <v>0</v>
      </c>
      <c r="I50" s="77" t="n">
        <f aca="false">G50-H50</f>
        <v>0</v>
      </c>
      <c r="J50" s="78" t="n">
        <f aca="false">G50-($C$8*12*(1+$C$12)^26)</f>
        <v>0</v>
      </c>
      <c r="K50" s="74" t="n">
        <f aca="false">IF(UPPER($C$19)="YES",MAX(0,I50),0)</f>
        <v>0</v>
      </c>
      <c r="L50" s="74" t="n">
        <f aca="false">(C50+K50)*(1+$C$11)</f>
        <v>0</v>
      </c>
      <c r="M50" s="79" t="str">
        <f aca="false">IF(J50&gt;=0,"🔥 GOAL!",IF(I50&gt;=0,"✅ NEED MET","⏳ Building"))</f>
        <v>🔥 GOAL!</v>
      </c>
    </row>
    <row r="51" customFormat="false" ht="15" hidden="false" customHeight="true" outlineLevel="0" collapsed="false">
      <c r="A51" s="80" t="n">
        <v>28</v>
      </c>
      <c r="B51" s="80" t="n">
        <f aca="false">$C$13+27</f>
        <v>27</v>
      </c>
      <c r="C51" s="81" t="n">
        <f aca="false">L50</f>
        <v>0</v>
      </c>
      <c r="D51" s="82" t="n">
        <f aca="false">$C$9*(1+$C$10)^27</f>
        <v>0.426721619160276</v>
      </c>
      <c r="E51" s="76" t="n">
        <f aca="false">C51*D51</f>
        <v>0</v>
      </c>
      <c r="F51" s="81" t="n">
        <f aca="false">IF(B51&gt;=$C$14,$C$15,0)+IF(AND($C$16&gt;0,B51&gt;=$C$16),$C$17,0)</f>
        <v>0</v>
      </c>
      <c r="G51" s="76" t="n">
        <f aca="false">E51+F51</f>
        <v>0</v>
      </c>
      <c r="H51" s="81" t="n">
        <f aca="false">$C$7*12*(1+$C$12)^27</f>
        <v>0</v>
      </c>
      <c r="I51" s="83" t="n">
        <f aca="false">G51-H51</f>
        <v>0</v>
      </c>
      <c r="J51" s="84" t="n">
        <f aca="false">G51-($C$8*12*(1+$C$12)^27)</f>
        <v>0</v>
      </c>
      <c r="K51" s="81" t="n">
        <f aca="false">IF(UPPER($C$19)="YES",MAX(0,I51),0)</f>
        <v>0</v>
      </c>
      <c r="L51" s="81" t="n">
        <f aca="false">(C51+K51)*(1+$C$11)</f>
        <v>0</v>
      </c>
      <c r="M51" s="85" t="str">
        <f aca="false">IF(J51&gt;=0,"🔥 GOAL!",IF(I51&gt;=0,"✅ NEED MET","⏳ Building"))</f>
        <v>🔥 GOAL!</v>
      </c>
    </row>
    <row r="52" customFormat="false" ht="19.5" hidden="false" customHeight="true" outlineLevel="0" collapsed="false">
      <c r="A52" s="73" t="n">
        <v>29</v>
      </c>
      <c r="B52" s="73" t="n">
        <f aca="false">$C$13+28</f>
        <v>28</v>
      </c>
      <c r="C52" s="74" t="n">
        <f aca="false">L51</f>
        <v>0</v>
      </c>
      <c r="D52" s="75" t="n">
        <f aca="false">$C$9*(1+$C$10)^28</f>
        <v>0.435256051543482</v>
      </c>
      <c r="E52" s="76" t="n">
        <f aca="false">C52*D52</f>
        <v>0</v>
      </c>
      <c r="F52" s="74" t="n">
        <f aca="false">IF(B52&gt;=$C$14,$C$15,0)+IF(AND($C$16&gt;0,B52&gt;=$C$16),$C$17,0)</f>
        <v>0</v>
      </c>
      <c r="G52" s="76" t="n">
        <f aca="false">E52+F52</f>
        <v>0</v>
      </c>
      <c r="H52" s="74" t="n">
        <f aca="false">$C$7*12*(1+$C$12)^28</f>
        <v>0</v>
      </c>
      <c r="I52" s="77" t="n">
        <f aca="false">G52-H52</f>
        <v>0</v>
      </c>
      <c r="J52" s="78" t="n">
        <f aca="false">G52-($C$8*12*(1+$C$12)^28)</f>
        <v>0</v>
      </c>
      <c r="K52" s="74" t="n">
        <f aca="false">IF(UPPER($C$19)="YES",MAX(0,I52),0)</f>
        <v>0</v>
      </c>
      <c r="L52" s="74" t="n">
        <f aca="false">(C52+K52)*(1+$C$11)</f>
        <v>0</v>
      </c>
      <c r="M52" s="79" t="str">
        <f aca="false">IF(J52&gt;=0,"🔥 GOAL!",IF(I52&gt;=0,"✅ NEED MET","⏳ Building"))</f>
        <v>🔥 GOAL!</v>
      </c>
    </row>
    <row r="53" customFormat="false" ht="15" hidden="false" customHeight="true" outlineLevel="0" collapsed="false">
      <c r="A53" s="80" t="n">
        <v>30</v>
      </c>
      <c r="B53" s="86" t="n">
        <f aca="false">$C$13+29</f>
        <v>29</v>
      </c>
      <c r="C53" s="81" t="n">
        <f aca="false">L52</f>
        <v>0</v>
      </c>
      <c r="D53" s="82" t="n">
        <f aca="false">$C$9*(1+$C$10)^29</f>
        <v>0.443961172574352</v>
      </c>
      <c r="E53" s="76" t="n">
        <f aca="false">C53*D53</f>
        <v>0</v>
      </c>
      <c r="F53" s="81" t="n">
        <f aca="false">IF(B53&gt;=$C$14,$C$15,0)+IF(AND($C$16&gt;0,B53&gt;=$C$16),$C$17,0)</f>
        <v>0</v>
      </c>
      <c r="G53" s="76" t="n">
        <f aca="false">E53+F53</f>
        <v>0</v>
      </c>
      <c r="H53" s="81" t="n">
        <f aca="false">$C$7*12*(1+$C$12)^29</f>
        <v>0</v>
      </c>
      <c r="I53" s="83" t="n">
        <f aca="false">G53-H53</f>
        <v>0</v>
      </c>
      <c r="J53" s="84" t="n">
        <f aca="false">G53-($C$8*12*(1+$C$12)^29)</f>
        <v>0</v>
      </c>
      <c r="K53" s="81" t="n">
        <f aca="false">IF(UPPER($C$19)="YES",MAX(0,I53),0)</f>
        <v>0</v>
      </c>
      <c r="L53" s="81" t="n">
        <f aca="false">(C53+K53)*(1+$C$11)</f>
        <v>0</v>
      </c>
      <c r="M53" s="85" t="str">
        <f aca="false">IF(J53&gt;=0,"🔥 GOAL!",IF(I53&gt;=0,"✅ NEED MET","⏳ Building"))</f>
        <v>🔥 GOAL!</v>
      </c>
    </row>
    <row r="54" customFormat="false" ht="15" hidden="false" customHeight="true" outlineLevel="0" collapsed="false"/>
    <row r="55" customFormat="false" ht="15" hidden="false" customHeight="true" outlineLevel="0" collapsed="false">
      <c r="A55" s="57" t="s">
        <v>136</v>
      </c>
    </row>
  </sheetData>
  <mergeCells count="1">
    <mergeCell ref="A21:M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1" width="12"/>
    <col collapsed="false" customWidth="true" hidden="false" outlineLevel="0" max="3" min="3" style="1" width="16"/>
    <col collapsed="false" customWidth="true" hidden="false" outlineLevel="0" max="6" min="4" style="1" width="14"/>
    <col collapsed="false" customWidth="true" hidden="false" outlineLevel="0" max="7" min="7" style="1" width="18"/>
  </cols>
  <sheetData>
    <row r="1" customFormat="false" ht="7.5" hidden="false" customHeight="true" outlineLevel="0" collapsed="false">
      <c r="A1" s="13"/>
    </row>
    <row r="2" customFormat="false" ht="36" hidden="false" customHeight="true" outlineLevel="0" collapsed="false">
      <c r="A2" s="13" t="s">
        <v>137</v>
      </c>
    </row>
    <row r="3" customFormat="false" ht="19.5" hidden="false" customHeight="true" outlineLevel="0" collapsed="false">
      <c r="A3" s="14" t="s">
        <v>138</v>
      </c>
      <c r="B3" s="14"/>
      <c r="C3" s="14"/>
      <c r="D3" s="14"/>
      <c r="E3" s="14"/>
      <c r="F3" s="14"/>
      <c r="G3" s="14"/>
    </row>
    <row r="5" customFormat="false" ht="27.75" hidden="false" customHeight="true" outlineLevel="0" collapsed="false">
      <c r="A5" s="16" t="s">
        <v>139</v>
      </c>
      <c r="B5" s="16" t="s">
        <v>140</v>
      </c>
      <c r="C5" s="16" t="s">
        <v>70</v>
      </c>
      <c r="D5" s="16" t="s">
        <v>141</v>
      </c>
      <c r="E5" s="16" t="s">
        <v>142</v>
      </c>
      <c r="F5" s="16" t="s">
        <v>143</v>
      </c>
      <c r="G5" s="16" t="s">
        <v>144</v>
      </c>
    </row>
    <row r="6" customFormat="false" ht="21.75" hidden="false" customHeight="true" outlineLevel="0" collapsed="false">
      <c r="A6" s="53" t="s">
        <v>145</v>
      </c>
      <c r="B6" s="53" t="s">
        <v>87</v>
      </c>
      <c r="C6" s="87" t="s">
        <v>76</v>
      </c>
      <c r="D6" s="54" t="n">
        <v>0.15</v>
      </c>
      <c r="E6" s="42" t="n">
        <v>5814</v>
      </c>
      <c r="F6" s="42"/>
      <c r="G6" s="55" t="n">
        <f aca="false">D6*E6</f>
        <v>872.1</v>
      </c>
    </row>
    <row r="7" customFormat="false" ht="21.75" hidden="false" customHeight="true" outlineLevel="0" collapsed="false">
      <c r="A7" s="88" t="s">
        <v>87</v>
      </c>
      <c r="B7" s="88" t="s">
        <v>146</v>
      </c>
      <c r="C7" s="89" t="s">
        <v>147</v>
      </c>
      <c r="D7" s="54" t="n">
        <v>0.1942</v>
      </c>
      <c r="E7" s="47"/>
      <c r="F7" s="47" t="n">
        <v>3629</v>
      </c>
      <c r="G7" s="55" t="n">
        <f aca="false">D7*F7</f>
        <v>704.7518</v>
      </c>
    </row>
    <row r="8" customFormat="false" ht="19.5" hidden="false" customHeight="true" outlineLevel="0" collapsed="false">
      <c r="A8" s="53"/>
      <c r="B8" s="53"/>
      <c r="C8" s="40"/>
      <c r="D8" s="54"/>
      <c r="E8" s="42"/>
      <c r="F8" s="42"/>
      <c r="G8" s="55" t="str">
        <f aca="false">IF(D8="","",IF(E8&lt;&gt;"",D8*E8,D8*F8))</f>
        <v/>
      </c>
    </row>
    <row r="9" customFormat="false" ht="19.5" hidden="false" customHeight="true" outlineLevel="0" collapsed="false">
      <c r="A9" s="88"/>
      <c r="B9" s="88"/>
      <c r="C9" s="45"/>
      <c r="D9" s="54"/>
      <c r="E9" s="47"/>
      <c r="F9" s="47"/>
      <c r="G9" s="55" t="str">
        <f aca="false">IF(D9="","",IF(E9&lt;&gt;"",D9*E9,D9*F9))</f>
        <v/>
      </c>
    </row>
    <row r="10" customFormat="false" ht="19.5" hidden="false" customHeight="true" outlineLevel="0" collapsed="false">
      <c r="A10" s="53"/>
      <c r="B10" s="53"/>
      <c r="C10" s="40"/>
      <c r="D10" s="54"/>
      <c r="E10" s="42"/>
      <c r="F10" s="42"/>
      <c r="G10" s="55" t="str">
        <f aca="false">IF(D10="","",IF(E10&lt;&gt;"",D10*E10,D10*F10))</f>
        <v/>
      </c>
    </row>
    <row r="11" customFormat="false" ht="19.5" hidden="false" customHeight="true" outlineLevel="0" collapsed="false">
      <c r="A11" s="88"/>
      <c r="B11" s="88"/>
      <c r="C11" s="45"/>
      <c r="D11" s="54"/>
      <c r="E11" s="47"/>
      <c r="F11" s="47"/>
      <c r="G11" s="55" t="str">
        <f aca="false">IF(D11="","",IF(E11&lt;&gt;"",D11*E11,D11*F11))</f>
        <v/>
      </c>
    </row>
    <row r="12" customFormat="false" ht="19.5" hidden="false" customHeight="true" outlineLevel="0" collapsed="false">
      <c r="A12" s="53"/>
      <c r="B12" s="53"/>
      <c r="C12" s="40"/>
      <c r="D12" s="54"/>
      <c r="E12" s="42"/>
      <c r="F12" s="42"/>
      <c r="G12" s="55" t="str">
        <f aca="false">IF(D12="","",IF(E12&lt;&gt;"",D12*E12,D12*F12))</f>
        <v/>
      </c>
    </row>
    <row r="13" customFormat="false" ht="19.5" hidden="false" customHeight="true" outlineLevel="0" collapsed="false">
      <c r="A13" s="88"/>
      <c r="B13" s="88"/>
      <c r="C13" s="45"/>
      <c r="D13" s="54"/>
      <c r="E13" s="47"/>
      <c r="F13" s="47"/>
      <c r="G13" s="55" t="str">
        <f aca="false">IF(D13="","",IF(E13&lt;&gt;"",D13*E13,D13*F13))</f>
        <v/>
      </c>
    </row>
    <row r="14" customFormat="false" ht="19.5" hidden="false" customHeight="true" outlineLevel="0" collapsed="false">
      <c r="A14" s="53"/>
      <c r="B14" s="53"/>
      <c r="C14" s="40"/>
      <c r="D14" s="54"/>
      <c r="E14" s="42"/>
      <c r="F14" s="42"/>
      <c r="G14" s="55" t="str">
        <f aca="false">IF(D14="","",IF(E14&lt;&gt;"",D14*E14,D14*F14))</f>
        <v/>
      </c>
    </row>
    <row r="15" customFormat="false" ht="19.5" hidden="false" customHeight="true" outlineLevel="0" collapsed="false">
      <c r="A15" s="88"/>
      <c r="B15" s="88"/>
      <c r="C15" s="45"/>
      <c r="D15" s="54"/>
      <c r="E15" s="47"/>
      <c r="F15" s="47"/>
      <c r="G15" s="55" t="str">
        <f aca="false">IF(D15="","",IF(E15&lt;&gt;"",D15*E15,D15*F15))</f>
        <v/>
      </c>
    </row>
    <row r="16" customFormat="false" ht="19.5" hidden="false" customHeight="true" outlineLevel="0" collapsed="false">
      <c r="A16" s="53"/>
      <c r="B16" s="53"/>
      <c r="C16" s="40"/>
      <c r="D16" s="54"/>
      <c r="E16" s="42"/>
      <c r="F16" s="42"/>
      <c r="G16" s="55" t="str">
        <f aca="false">IF(D16="","",IF(E16&lt;&gt;"",D16*E16,D16*F16))</f>
        <v/>
      </c>
    </row>
    <row r="17" customFormat="false" ht="19.5" hidden="false" customHeight="true" outlineLevel="0" collapsed="false">
      <c r="A17" s="88"/>
      <c r="B17" s="88"/>
      <c r="C17" s="45"/>
      <c r="D17" s="54"/>
      <c r="E17" s="47"/>
      <c r="F17" s="47"/>
      <c r="G17" s="55" t="str">
        <f aca="false">IF(D17="","",IF(E17&lt;&gt;"",D17*E17,D17*F17))</f>
        <v/>
      </c>
    </row>
    <row r="18" customFormat="false" ht="19.5" hidden="false" customHeight="true" outlineLevel="0" collapsed="false">
      <c r="A18" s="53"/>
      <c r="B18" s="53"/>
      <c r="C18" s="40"/>
      <c r="D18" s="54"/>
      <c r="E18" s="42"/>
      <c r="F18" s="42"/>
      <c r="G18" s="55" t="str">
        <f aca="false">IF(D18="","",IF(E18&lt;&gt;"",D18*E18,D18*F18))</f>
        <v/>
      </c>
    </row>
    <row r="19" customFormat="false" ht="19.5" hidden="false" customHeight="true" outlineLevel="0" collapsed="false">
      <c r="A19" s="88"/>
      <c r="B19" s="88"/>
      <c r="C19" s="45"/>
      <c r="D19" s="54"/>
      <c r="E19" s="47"/>
      <c r="F19" s="47"/>
      <c r="G19" s="55" t="str">
        <f aca="false">IF(D19="","",IF(E19&lt;&gt;"",D19*E19,D19*F19))</f>
        <v/>
      </c>
    </row>
    <row r="20" customFormat="false" ht="19.5" hidden="false" customHeight="true" outlineLevel="0" collapsed="false">
      <c r="A20" s="53"/>
      <c r="B20" s="53"/>
      <c r="C20" s="40"/>
      <c r="D20" s="54"/>
      <c r="E20" s="42"/>
      <c r="F20" s="42"/>
      <c r="G20" s="55" t="str">
        <f aca="false">IF(D20="","",IF(E20&lt;&gt;"",D20*E20,D20*F20))</f>
        <v/>
      </c>
    </row>
    <row r="21" customFormat="false" ht="19.5" hidden="false" customHeight="true" outlineLevel="0" collapsed="false">
      <c r="A21" s="88"/>
      <c r="B21" s="88"/>
      <c r="C21" s="45"/>
      <c r="D21" s="54"/>
      <c r="E21" s="47"/>
      <c r="F21" s="47"/>
      <c r="G21" s="55" t="str">
        <f aca="false">IF(D21="","",IF(E21&lt;&gt;"",D21*E21,D21*F21))</f>
        <v/>
      </c>
    </row>
    <row r="22" customFormat="false" ht="19.5" hidden="false" customHeight="true" outlineLevel="0" collapsed="false">
      <c r="A22" s="53"/>
      <c r="B22" s="53"/>
      <c r="C22" s="40"/>
      <c r="D22" s="54"/>
      <c r="E22" s="42"/>
      <c r="F22" s="42"/>
      <c r="G22" s="55" t="str">
        <f aca="false">IF(D22="","",IF(E22&lt;&gt;"",D22*E22,D22*F22))</f>
        <v/>
      </c>
    </row>
    <row r="23" customFormat="false" ht="19.5" hidden="false" customHeight="true" outlineLevel="0" collapsed="false">
      <c r="A23" s="88"/>
      <c r="B23" s="88"/>
      <c r="C23" s="45"/>
      <c r="D23" s="54"/>
      <c r="E23" s="47"/>
      <c r="F23" s="47"/>
      <c r="G23" s="55" t="str">
        <f aca="false">IF(D23="","",IF(E23&lt;&gt;"",D23*E23,D23*F23))</f>
        <v/>
      </c>
    </row>
    <row r="24" customFormat="false" ht="19.5" hidden="false" customHeight="true" outlineLevel="0" collapsed="false">
      <c r="A24" s="53"/>
      <c r="B24" s="53"/>
      <c r="C24" s="40"/>
      <c r="D24" s="54"/>
      <c r="E24" s="42"/>
      <c r="F24" s="42"/>
      <c r="G24" s="55" t="str">
        <f aca="false">IF(D24="","",IF(E24&lt;&gt;"",D24*E24,D24*F24))</f>
        <v/>
      </c>
    </row>
    <row r="25" customFormat="false" ht="19.5" hidden="false" customHeight="true" outlineLevel="0" collapsed="false">
      <c r="A25" s="88"/>
      <c r="B25" s="88"/>
      <c r="C25" s="45"/>
      <c r="D25" s="54"/>
      <c r="E25" s="47"/>
      <c r="F25" s="47"/>
      <c r="G25" s="55" t="str">
        <f aca="false">IF(D25="","",IF(E25&lt;&gt;"",D25*E25,D25*F25))</f>
        <v/>
      </c>
    </row>
    <row r="26" customFormat="false" ht="19.5" hidden="false" customHeight="true" outlineLevel="0" collapsed="false">
      <c r="A26" s="53"/>
      <c r="B26" s="53"/>
      <c r="C26" s="40"/>
      <c r="D26" s="54"/>
      <c r="E26" s="42"/>
      <c r="F26" s="42"/>
      <c r="G26" s="55" t="str">
        <f aca="false">IF(D26="","",IF(E26&lt;&gt;"",D26*E26,D26*F26))</f>
        <v/>
      </c>
    </row>
    <row r="27" customFormat="false" ht="19.5" hidden="false" customHeight="true" outlineLevel="0" collapsed="false">
      <c r="A27" s="88"/>
      <c r="B27" s="88"/>
      <c r="C27" s="45"/>
      <c r="D27" s="54"/>
      <c r="E27" s="47"/>
      <c r="F27" s="47"/>
      <c r="G27" s="55" t="str">
        <f aca="false">IF(D27="","",IF(E27&lt;&gt;"",D27*E27,D27*F27))</f>
        <v/>
      </c>
    </row>
    <row r="28" customFormat="false" ht="19.5" hidden="false" customHeight="true" outlineLevel="0" collapsed="false">
      <c r="A28" s="53"/>
      <c r="B28" s="53"/>
      <c r="C28" s="40"/>
      <c r="D28" s="54"/>
      <c r="E28" s="42"/>
      <c r="F28" s="42"/>
      <c r="G28" s="55" t="str">
        <f aca="false">IF(D28="","",IF(E28&lt;&gt;"",D28*E28,D28*F28))</f>
        <v/>
      </c>
    </row>
    <row r="29" customFormat="false" ht="19.5" hidden="false" customHeight="true" outlineLevel="0" collapsed="false">
      <c r="A29" s="88"/>
      <c r="B29" s="88"/>
      <c r="C29" s="45"/>
      <c r="D29" s="54"/>
      <c r="E29" s="47"/>
      <c r="F29" s="47"/>
      <c r="G29" s="55" t="str">
        <f aca="false">IF(D29="","",IF(E29&lt;&gt;"",D29*E29,D29*F29))</f>
        <v/>
      </c>
    </row>
    <row r="30" customFormat="false" ht="19.5" hidden="false" customHeight="true" outlineLevel="0" collapsed="false">
      <c r="A30" s="53"/>
      <c r="B30" s="53"/>
      <c r="C30" s="40"/>
      <c r="D30" s="54"/>
      <c r="E30" s="42"/>
      <c r="F30" s="42"/>
      <c r="G30" s="55" t="str">
        <f aca="false">IF(D30="","",IF(E30&lt;&gt;"",D30*E30,D30*F30))</f>
        <v/>
      </c>
    </row>
    <row r="31" customFormat="false" ht="19.5" hidden="false" customHeight="true" outlineLevel="0" collapsed="false">
      <c r="A31" s="88"/>
      <c r="B31" s="88"/>
      <c r="C31" s="45"/>
      <c r="D31" s="54"/>
      <c r="E31" s="47"/>
      <c r="F31" s="47"/>
      <c r="G31" s="55" t="str">
        <f aca="false">IF(D31="","",IF(E31&lt;&gt;"",D31*E31,D31*F31))</f>
        <v/>
      </c>
    </row>
    <row r="32" customFormat="false" ht="19.5" hidden="false" customHeight="true" outlineLevel="0" collapsed="false">
      <c r="A32" s="53"/>
      <c r="B32" s="53"/>
      <c r="C32" s="40"/>
      <c r="D32" s="54"/>
      <c r="E32" s="42"/>
      <c r="F32" s="42"/>
      <c r="G32" s="55" t="str">
        <f aca="false">IF(D32="","",IF(E32&lt;&gt;"",D32*E32,D32*F32))</f>
        <v/>
      </c>
    </row>
    <row r="33" customFormat="false" ht="19.5" hidden="false" customHeight="true" outlineLevel="0" collapsed="false">
      <c r="A33" s="88"/>
      <c r="B33" s="88"/>
      <c r="C33" s="45"/>
      <c r="D33" s="54"/>
      <c r="E33" s="47"/>
      <c r="F33" s="47"/>
      <c r="G33" s="55" t="str">
        <f aca="false">IF(D33="","",IF(E33&lt;&gt;"",D33*E33,D33*F33))</f>
        <v/>
      </c>
    </row>
    <row r="34" customFormat="false" ht="19.5" hidden="false" customHeight="true" outlineLevel="0" collapsed="false">
      <c r="A34" s="53"/>
      <c r="B34" s="53"/>
      <c r="C34" s="40"/>
      <c r="D34" s="54"/>
      <c r="E34" s="42"/>
      <c r="F34" s="42"/>
      <c r="G34" s="55" t="str">
        <f aca="false">IF(D34="","",IF(E34&lt;&gt;"",D34*E34,D34*F34))</f>
        <v/>
      </c>
    </row>
    <row r="35" customFormat="false" ht="19.5" hidden="false" customHeight="true" outlineLevel="0" collapsed="false">
      <c r="A35" s="88"/>
      <c r="B35" s="88"/>
      <c r="C35" s="45"/>
      <c r="D35" s="54"/>
      <c r="E35" s="47"/>
      <c r="F35" s="47"/>
      <c r="G35" s="55" t="str">
        <f aca="false">IF(D35="","",IF(E35&lt;&gt;"",D35*E35,D35*F35))</f>
        <v/>
      </c>
    </row>
    <row r="36" customFormat="false" ht="19.5" hidden="false" customHeight="true" outlineLevel="0" collapsed="false">
      <c r="A36" s="53"/>
      <c r="B36" s="53"/>
      <c r="C36" s="40"/>
      <c r="D36" s="54"/>
      <c r="E36" s="42"/>
      <c r="F36" s="42"/>
      <c r="G36" s="55" t="str">
        <f aca="false">IF(D36="","",IF(E36&lt;&gt;"",D36*E36,D36*F36))</f>
        <v/>
      </c>
    </row>
    <row r="37" customFormat="false" ht="19.5" hidden="false" customHeight="true" outlineLevel="0" collapsed="false">
      <c r="A37" s="88"/>
      <c r="B37" s="88"/>
      <c r="C37" s="45"/>
      <c r="D37" s="54"/>
      <c r="E37" s="47"/>
      <c r="F37" s="47"/>
      <c r="G37" s="55" t="str">
        <f aca="false">IF(D37="","",IF(E37&lt;&gt;"",D37*E37,D37*F37))</f>
        <v/>
      </c>
    </row>
    <row r="38" customFormat="false" ht="19.5" hidden="false" customHeight="true" outlineLevel="0" collapsed="false">
      <c r="A38" s="53"/>
      <c r="B38" s="53"/>
      <c r="C38" s="40"/>
      <c r="D38" s="54"/>
      <c r="E38" s="42"/>
      <c r="F38" s="42"/>
      <c r="G38" s="55" t="str">
        <f aca="false">IF(D38="","",IF(E38&lt;&gt;"",D38*E38,D38*F38))</f>
        <v/>
      </c>
    </row>
    <row r="39" customFormat="false" ht="19.5" hidden="false" customHeight="true" outlineLevel="0" collapsed="false">
      <c r="A39" s="88"/>
      <c r="B39" s="88"/>
      <c r="C39" s="45"/>
      <c r="D39" s="54"/>
      <c r="E39" s="47"/>
      <c r="F39" s="47"/>
      <c r="G39" s="55" t="str">
        <f aca="false">IF(D39="","",IF(E39&lt;&gt;"",D39*E39,D39*F39))</f>
        <v/>
      </c>
    </row>
    <row r="40" customFormat="false" ht="19.5" hidden="false" customHeight="true" outlineLevel="0" collapsed="false">
      <c r="A40" s="53"/>
      <c r="B40" s="53"/>
      <c r="C40" s="40"/>
      <c r="D40" s="54"/>
      <c r="E40" s="42"/>
      <c r="F40" s="42"/>
      <c r="G40" s="55" t="str">
        <f aca="false">IF(D40="","",IF(E40&lt;&gt;"",D40*E40,D40*F40))</f>
        <v/>
      </c>
    </row>
    <row r="41" customFormat="false" ht="19.5" hidden="false" customHeight="true" outlineLevel="0" collapsed="false">
      <c r="A41" s="88"/>
      <c r="B41" s="88"/>
      <c r="C41" s="45"/>
      <c r="D41" s="54"/>
      <c r="E41" s="47"/>
      <c r="F41" s="47"/>
      <c r="G41" s="55" t="str">
        <f aca="false">IF(D41="","",IF(E41&lt;&gt;"",D41*E41,D41*F41))</f>
        <v/>
      </c>
    </row>
    <row r="42" customFormat="false" ht="19.5" hidden="false" customHeight="true" outlineLevel="0" collapsed="false">
      <c r="A42" s="53"/>
      <c r="B42" s="53"/>
      <c r="C42" s="40"/>
      <c r="D42" s="54"/>
      <c r="E42" s="42"/>
      <c r="F42" s="42"/>
      <c r="G42" s="55" t="str">
        <f aca="false">IF(D42="","",IF(E42&lt;&gt;"",D42*E42,D42*F42))</f>
        <v/>
      </c>
    </row>
    <row r="43" customFormat="false" ht="19.5" hidden="false" customHeight="true" outlineLevel="0" collapsed="false">
      <c r="A43" s="88"/>
      <c r="B43" s="88"/>
      <c r="C43" s="45"/>
      <c r="D43" s="54"/>
      <c r="E43" s="47"/>
      <c r="F43" s="47"/>
      <c r="G43" s="55" t="str">
        <f aca="false">IF(D43="","",IF(E43&lt;&gt;"",D43*E43,D43*F43))</f>
        <v/>
      </c>
    </row>
    <row r="44" customFormat="false" ht="19.5" hidden="false" customHeight="true" outlineLevel="0" collapsed="false">
      <c r="A44" s="53"/>
      <c r="B44" s="53"/>
      <c r="C44" s="40"/>
      <c r="D44" s="54"/>
      <c r="E44" s="42"/>
      <c r="F44" s="42"/>
      <c r="G44" s="55" t="str">
        <f aca="false">IF(D44="","",IF(E44&lt;&gt;"",D44*E44,D44*F44))</f>
        <v/>
      </c>
    </row>
    <row r="45" customFormat="false" ht="19.5" hidden="false" customHeight="true" outlineLevel="0" collapsed="false">
      <c r="A45" s="88"/>
      <c r="B45" s="88"/>
      <c r="C45" s="45"/>
      <c r="D45" s="54"/>
      <c r="E45" s="47"/>
      <c r="F45" s="47"/>
      <c r="G45" s="55" t="str">
        <f aca="false">IF(D45="","",IF(E45&lt;&gt;"",D45*E45,D45*F45))</f>
        <v/>
      </c>
    </row>
    <row r="46" customFormat="false" ht="19.5" hidden="false" customHeight="true" outlineLevel="0" collapsed="false">
      <c r="A46" s="53"/>
      <c r="B46" s="53"/>
      <c r="C46" s="40"/>
      <c r="D46" s="54"/>
      <c r="E46" s="42"/>
      <c r="F46" s="42"/>
      <c r="G46" s="55" t="str">
        <f aca="false">IF(D46="","",IF(E46&lt;&gt;"",D46*E46,D46*F46))</f>
        <v/>
      </c>
    </row>
    <row r="47" customFormat="false" ht="19.5" hidden="false" customHeight="true" outlineLevel="0" collapsed="false">
      <c r="A47" s="88"/>
      <c r="B47" s="88"/>
      <c r="C47" s="45"/>
      <c r="D47" s="54"/>
      <c r="E47" s="47"/>
      <c r="F47" s="47"/>
      <c r="G47" s="55" t="str">
        <f aca="false">IF(D47="","",IF(E47&lt;&gt;"",D47*E47,D47*F47))</f>
        <v/>
      </c>
    </row>
    <row r="48" customFormat="false" ht="19.5" hidden="false" customHeight="true" outlineLevel="0" collapsed="false">
      <c r="A48" s="53"/>
      <c r="B48" s="53"/>
      <c r="C48" s="40"/>
      <c r="D48" s="54"/>
      <c r="E48" s="42"/>
      <c r="F48" s="42"/>
      <c r="G48" s="55" t="str">
        <f aca="false">IF(D48="","",IF(E48&lt;&gt;"",D48*E48,D48*F48))</f>
        <v/>
      </c>
    </row>
    <row r="49" customFormat="false" ht="19.5" hidden="false" customHeight="true" outlineLevel="0" collapsed="false">
      <c r="A49" s="88"/>
      <c r="B49" s="88"/>
      <c r="C49" s="45"/>
      <c r="D49" s="54"/>
      <c r="E49" s="47"/>
      <c r="F49" s="47"/>
      <c r="G49" s="55" t="str">
        <f aca="false">IF(D49="","",IF(E49&lt;&gt;"",D49*E49,D49*F49))</f>
        <v/>
      </c>
    </row>
    <row r="50" customFormat="false" ht="19.5" hidden="false" customHeight="true" outlineLevel="0" collapsed="false">
      <c r="A50" s="53"/>
      <c r="B50" s="53"/>
      <c r="C50" s="40"/>
      <c r="D50" s="54"/>
      <c r="E50" s="42"/>
      <c r="F50" s="42"/>
      <c r="G50" s="55" t="str">
        <f aca="false">IF(D50="","",IF(E50&lt;&gt;"",D50*E50,D50*F50))</f>
        <v/>
      </c>
    </row>
    <row r="51" customFormat="false" ht="19.5" hidden="false" customHeight="true" outlineLevel="0" collapsed="false">
      <c r="A51" s="88"/>
      <c r="B51" s="88"/>
      <c r="C51" s="45"/>
      <c r="D51" s="54"/>
      <c r="E51" s="47"/>
      <c r="F51" s="47"/>
      <c r="G51" s="55" t="str">
        <f aca="false">IF(D51="","",IF(E51&lt;&gt;"",D51*E51,D51*F51))</f>
        <v/>
      </c>
    </row>
    <row r="52" customFormat="false" ht="19.5" hidden="false" customHeight="true" outlineLevel="0" collapsed="false">
      <c r="A52" s="53"/>
      <c r="B52" s="53"/>
      <c r="C52" s="40"/>
      <c r="D52" s="54"/>
      <c r="E52" s="42"/>
      <c r="F52" s="42"/>
      <c r="G52" s="55" t="str">
        <f aca="false">IF(D52="","",IF(E52&lt;&gt;"",D52*E52,D52*F52))</f>
        <v/>
      </c>
    </row>
    <row r="53" customFormat="false" ht="19.5" hidden="false" customHeight="true" outlineLevel="0" collapsed="false">
      <c r="A53" s="88"/>
      <c r="B53" s="88"/>
      <c r="C53" s="45"/>
      <c r="D53" s="54"/>
      <c r="E53" s="47"/>
      <c r="F53" s="47"/>
      <c r="G53" s="55" t="str">
        <f aca="false">IF(D53="","",IF(E53&lt;&gt;"",D53*E53,D53*F53))</f>
        <v/>
      </c>
    </row>
    <row r="54" customFormat="false" ht="19.5" hidden="false" customHeight="true" outlineLevel="0" collapsed="false">
      <c r="A54" s="53"/>
      <c r="B54" s="53"/>
      <c r="C54" s="40"/>
      <c r="D54" s="54"/>
      <c r="E54" s="42"/>
      <c r="F54" s="42"/>
      <c r="G54" s="55" t="str">
        <f aca="false">IF(D54="","",IF(E54&lt;&gt;"",D54*E54,D54*F54))</f>
        <v/>
      </c>
    </row>
    <row r="55" customFormat="false" ht="19.5" hidden="false" customHeight="true" outlineLevel="0" collapsed="false">
      <c r="A55" s="88"/>
      <c r="B55" s="88"/>
      <c r="C55" s="45"/>
      <c r="D55" s="54"/>
      <c r="E55" s="47"/>
      <c r="F55" s="47"/>
      <c r="G55" s="55" t="str">
        <f aca="false">IF(D55="","",IF(E55&lt;&gt;"",D55*E55,D55*F55))</f>
        <v/>
      </c>
    </row>
    <row r="56" customFormat="false" ht="19.5" hidden="false" customHeight="true" outlineLevel="0" collapsed="false">
      <c r="A56" s="53"/>
      <c r="B56" s="53"/>
      <c r="C56" s="40"/>
      <c r="D56" s="54"/>
      <c r="E56" s="42"/>
      <c r="F56" s="42"/>
      <c r="G56" s="55" t="str">
        <f aca="false">IF(D56="","",IF(E56&lt;&gt;"",D56*E56,D56*F56))</f>
        <v/>
      </c>
    </row>
    <row r="57" customFormat="false" ht="19.5" hidden="false" customHeight="true" outlineLevel="0" collapsed="false">
      <c r="A57" s="88"/>
      <c r="B57" s="88"/>
      <c r="C57" s="45"/>
      <c r="D57" s="54"/>
      <c r="E57" s="47"/>
      <c r="F57" s="47"/>
      <c r="G57" s="55" t="str">
        <f aca="false">IF(D57="","",IF(E57&lt;&gt;"",D57*E57,D57*F57))</f>
        <v/>
      </c>
    </row>
    <row r="58" customFormat="false" ht="19.5" hidden="false" customHeight="true" outlineLevel="0" collapsed="false">
      <c r="A58" s="53"/>
      <c r="B58" s="53"/>
      <c r="C58" s="40"/>
      <c r="D58" s="54"/>
      <c r="E58" s="42"/>
      <c r="F58" s="42"/>
      <c r="G58" s="55" t="str">
        <f aca="false">IF(D58="","",IF(E58&lt;&gt;"",D58*E58,D58*F58))</f>
        <v/>
      </c>
    </row>
    <row r="59" customFormat="false" ht="19.5" hidden="false" customHeight="true" outlineLevel="0" collapsed="false">
      <c r="A59" s="88"/>
      <c r="B59" s="88"/>
      <c r="C59" s="45"/>
      <c r="D59" s="54"/>
      <c r="E59" s="47"/>
      <c r="F59" s="47"/>
      <c r="G59" s="55" t="str">
        <f aca="false">IF(D59="","",IF(E59&lt;&gt;"",D59*E59,D59*F59))</f>
        <v/>
      </c>
    </row>
    <row r="60" customFormat="false" ht="19.5" hidden="false" customHeight="true" outlineLevel="0" collapsed="false">
      <c r="A60" s="53"/>
      <c r="B60" s="53"/>
      <c r="C60" s="40"/>
      <c r="D60" s="54"/>
      <c r="E60" s="42"/>
      <c r="F60" s="42"/>
      <c r="G60" s="55" t="str">
        <f aca="false">IF(D60="","",IF(E60&lt;&gt;"",D60*E60,D60*F60))</f>
        <v/>
      </c>
    </row>
    <row r="61" customFormat="false" ht="19.5" hidden="false" customHeight="true" outlineLevel="0" collapsed="false">
      <c r="A61" s="88"/>
      <c r="B61" s="88"/>
      <c r="C61" s="45"/>
      <c r="D61" s="54"/>
      <c r="E61" s="47"/>
      <c r="F61" s="47"/>
      <c r="G61" s="55" t="str">
        <f aca="false">IF(D61="","",IF(E61&lt;&gt;"",D61*E61,D61*F61))</f>
        <v/>
      </c>
    </row>
    <row r="62" customFormat="false" ht="19.5" hidden="false" customHeight="true" outlineLevel="0" collapsed="false">
      <c r="A62" s="53"/>
      <c r="B62" s="53"/>
      <c r="C62" s="40"/>
      <c r="D62" s="54"/>
      <c r="E62" s="42"/>
      <c r="F62" s="42"/>
      <c r="G62" s="55" t="str">
        <f aca="false">IF(D62="","",IF(E62&lt;&gt;"",D62*E62,D62*F62))</f>
        <v/>
      </c>
    </row>
    <row r="63" customFormat="false" ht="19.5" hidden="false" customHeight="true" outlineLevel="0" collapsed="false">
      <c r="A63" s="88"/>
      <c r="B63" s="88"/>
      <c r="C63" s="45"/>
      <c r="D63" s="54"/>
      <c r="E63" s="47"/>
      <c r="F63" s="47"/>
      <c r="G63" s="55" t="str">
        <f aca="false">IF(D63="","",IF(E63&lt;&gt;"",D63*E63,D63*F63))</f>
        <v/>
      </c>
    </row>
    <row r="64" customFormat="false" ht="19.5" hidden="false" customHeight="true" outlineLevel="0" collapsed="false">
      <c r="A64" s="53"/>
      <c r="B64" s="53"/>
      <c r="C64" s="40"/>
      <c r="D64" s="54"/>
      <c r="E64" s="42"/>
      <c r="F64" s="42"/>
      <c r="G64" s="55" t="str">
        <f aca="false">IF(D64="","",IF(E64&lt;&gt;"",D64*E64,D64*F64))</f>
        <v/>
      </c>
    </row>
    <row r="65" customFormat="false" ht="19.5" hidden="false" customHeight="true" outlineLevel="0" collapsed="false">
      <c r="A65" s="88"/>
      <c r="B65" s="88"/>
      <c r="C65" s="45"/>
      <c r="D65" s="54"/>
      <c r="E65" s="47"/>
      <c r="F65" s="47"/>
      <c r="G65" s="55" t="str">
        <f aca="false">IF(D65="","",IF(E65&lt;&gt;"",D65*E65,D65*F65))</f>
        <v/>
      </c>
    </row>
    <row r="66" customFormat="false" ht="19.5" hidden="false" customHeight="true" outlineLevel="0" collapsed="false">
      <c r="A66" s="53"/>
      <c r="B66" s="53"/>
      <c r="C66" s="40"/>
      <c r="D66" s="54"/>
      <c r="E66" s="42"/>
      <c r="F66" s="42"/>
      <c r="G66" s="55" t="str">
        <f aca="false">IF(D66="","",IF(E66&lt;&gt;"",D66*E66,D66*F66))</f>
        <v/>
      </c>
    </row>
    <row r="67" customFormat="false" ht="19.5" hidden="false" customHeight="true" outlineLevel="0" collapsed="false">
      <c r="A67" s="88"/>
      <c r="B67" s="88"/>
      <c r="C67" s="45"/>
      <c r="D67" s="54"/>
      <c r="E67" s="47"/>
      <c r="F67" s="47"/>
      <c r="G67" s="55" t="str">
        <f aca="false">IF(D67="","",IF(E67&lt;&gt;"",D67*E67,D67*F67))</f>
        <v/>
      </c>
    </row>
    <row r="68" customFormat="false" ht="19.5" hidden="false" customHeight="true" outlineLevel="0" collapsed="false">
      <c r="A68" s="53"/>
      <c r="B68" s="53"/>
      <c r="C68" s="40"/>
      <c r="D68" s="54"/>
      <c r="E68" s="42"/>
      <c r="F68" s="42"/>
      <c r="G68" s="55" t="str">
        <f aca="false">IF(D68="","",IF(E68&lt;&gt;"",D68*E68,D68*F68))</f>
        <v/>
      </c>
    </row>
    <row r="69" customFormat="false" ht="19.5" hidden="false" customHeight="true" outlineLevel="0" collapsed="false">
      <c r="A69" s="88"/>
      <c r="B69" s="88"/>
      <c r="C69" s="45"/>
      <c r="D69" s="54"/>
      <c r="E69" s="47"/>
      <c r="F69" s="47"/>
      <c r="G69" s="55" t="str">
        <f aca="false">IF(D69="","",IF(E69&lt;&gt;"",D69*E69,D69*F69))</f>
        <v/>
      </c>
    </row>
    <row r="70" customFormat="false" ht="19.5" hidden="false" customHeight="true" outlineLevel="0" collapsed="false">
      <c r="A70" s="53"/>
      <c r="B70" s="53"/>
      <c r="C70" s="40"/>
      <c r="D70" s="54"/>
      <c r="E70" s="42"/>
      <c r="F70" s="42"/>
      <c r="G70" s="55" t="str">
        <f aca="false">IF(D70="","",IF(E70&lt;&gt;"",D70*E70,D70*F70))</f>
        <v/>
      </c>
    </row>
    <row r="71" customFormat="false" ht="19.5" hidden="false" customHeight="true" outlineLevel="0" collapsed="false">
      <c r="A71" s="88"/>
      <c r="B71" s="88"/>
      <c r="C71" s="45"/>
      <c r="D71" s="54"/>
      <c r="E71" s="47"/>
      <c r="F71" s="47"/>
      <c r="G71" s="55" t="str">
        <f aca="false">IF(D71="","",IF(E71&lt;&gt;"",D71*E71,D71*F71))</f>
        <v/>
      </c>
    </row>
    <row r="72" customFormat="false" ht="19.5" hidden="false" customHeight="true" outlineLevel="0" collapsed="false">
      <c r="A72" s="53"/>
      <c r="B72" s="53"/>
      <c r="C72" s="40"/>
      <c r="D72" s="54"/>
      <c r="E72" s="42"/>
      <c r="F72" s="42"/>
      <c r="G72" s="55" t="str">
        <f aca="false">IF(D72="","",IF(E72&lt;&gt;"",D72*E72,D72*F72))</f>
        <v/>
      </c>
    </row>
    <row r="73" customFormat="false" ht="19.5" hidden="false" customHeight="true" outlineLevel="0" collapsed="false">
      <c r="A73" s="88"/>
      <c r="B73" s="88"/>
      <c r="C73" s="45"/>
      <c r="D73" s="54"/>
      <c r="E73" s="47"/>
      <c r="F73" s="47"/>
      <c r="G73" s="55" t="str">
        <f aca="false">IF(D73="","",IF(E73&lt;&gt;"",D73*E73,D73*F73))</f>
        <v/>
      </c>
    </row>
    <row r="74" customFormat="false" ht="19.5" hidden="false" customHeight="true" outlineLevel="0" collapsed="false">
      <c r="A74" s="53"/>
      <c r="B74" s="53"/>
      <c r="C74" s="40"/>
      <c r="D74" s="54"/>
      <c r="E74" s="42"/>
      <c r="F74" s="42"/>
      <c r="G74" s="55" t="str">
        <f aca="false">IF(D74="","",IF(E74&lt;&gt;"",D74*E74,D74*F74))</f>
        <v/>
      </c>
    </row>
    <row r="75" customFormat="false" ht="19.5" hidden="false" customHeight="true" outlineLevel="0" collapsed="false">
      <c r="A75" s="88"/>
      <c r="B75" s="88"/>
      <c r="C75" s="45"/>
      <c r="D75" s="54"/>
      <c r="E75" s="47"/>
      <c r="F75" s="47"/>
      <c r="G75" s="55" t="str">
        <f aca="false">IF(D75="","",IF(E75&lt;&gt;"",D75*E75,D75*F75))</f>
        <v/>
      </c>
    </row>
    <row r="76" customFormat="false" ht="19.5" hidden="false" customHeight="true" outlineLevel="0" collapsed="false">
      <c r="A76" s="53"/>
      <c r="B76" s="53"/>
      <c r="C76" s="40"/>
      <c r="D76" s="54"/>
      <c r="E76" s="42"/>
      <c r="F76" s="42"/>
      <c r="G76" s="55" t="str">
        <f aca="false">IF(D76="","",IF(E76&lt;&gt;"",D76*E76,D76*F76))</f>
        <v/>
      </c>
    </row>
    <row r="77" customFormat="false" ht="19.5" hidden="false" customHeight="true" outlineLevel="0" collapsed="false">
      <c r="A77" s="88"/>
      <c r="B77" s="88"/>
      <c r="C77" s="45"/>
      <c r="D77" s="54"/>
      <c r="E77" s="47"/>
      <c r="F77" s="47"/>
      <c r="G77" s="55" t="str">
        <f aca="false">IF(D77="","",IF(E77&lt;&gt;"",D77*E77,D77*F77))</f>
        <v/>
      </c>
    </row>
    <row r="78" customFormat="false" ht="19.5" hidden="false" customHeight="true" outlineLevel="0" collapsed="false">
      <c r="A78" s="53"/>
      <c r="B78" s="53"/>
      <c r="C78" s="40"/>
      <c r="D78" s="54"/>
      <c r="E78" s="42"/>
      <c r="F78" s="42"/>
      <c r="G78" s="55" t="str">
        <f aca="false">IF(D78="","",IF(E78&lt;&gt;"",D78*E78,D78*F78))</f>
        <v/>
      </c>
    </row>
    <row r="79" customFormat="false" ht="19.5" hidden="false" customHeight="true" outlineLevel="0" collapsed="false">
      <c r="A79" s="88"/>
      <c r="B79" s="88"/>
      <c r="C79" s="45"/>
      <c r="D79" s="54"/>
      <c r="E79" s="47"/>
      <c r="F79" s="47"/>
      <c r="G79" s="55" t="str">
        <f aca="false">IF(D79="","",IF(E79&lt;&gt;"",D79*E79,D79*F79))</f>
        <v/>
      </c>
    </row>
    <row r="80" customFormat="false" ht="19.5" hidden="false" customHeight="true" outlineLevel="0" collapsed="false">
      <c r="A80" s="53"/>
      <c r="B80" s="53"/>
      <c r="C80" s="40"/>
      <c r="D80" s="54"/>
      <c r="E80" s="42"/>
      <c r="F80" s="42"/>
      <c r="G80" s="55" t="str">
        <f aca="false">IF(D80="","",IF(E80&lt;&gt;"",D80*E80,D80*F80))</f>
        <v/>
      </c>
    </row>
    <row r="81" customFormat="false" ht="19.5" hidden="false" customHeight="true" outlineLevel="0" collapsed="false">
      <c r="A81" s="88"/>
      <c r="B81" s="88"/>
      <c r="C81" s="45"/>
      <c r="D81" s="54"/>
      <c r="E81" s="47"/>
      <c r="F81" s="47"/>
      <c r="G81" s="55" t="str">
        <f aca="false">IF(D81="","",IF(E81&lt;&gt;"",D81*E81,D81*F81))</f>
        <v/>
      </c>
    </row>
    <row r="82" customFormat="false" ht="19.5" hidden="false" customHeight="true" outlineLevel="0" collapsed="false">
      <c r="A82" s="53"/>
      <c r="B82" s="53"/>
      <c r="C82" s="40"/>
      <c r="D82" s="54"/>
      <c r="E82" s="42"/>
      <c r="F82" s="42"/>
      <c r="G82" s="55" t="str">
        <f aca="false">IF(D82="","",IF(E82&lt;&gt;"",D82*E82,D82*F82))</f>
        <v/>
      </c>
    </row>
    <row r="83" customFormat="false" ht="19.5" hidden="false" customHeight="true" outlineLevel="0" collapsed="false">
      <c r="A83" s="88"/>
      <c r="B83" s="88"/>
      <c r="C83" s="45"/>
      <c r="D83" s="54"/>
      <c r="E83" s="47"/>
      <c r="F83" s="47"/>
      <c r="G83" s="55" t="str">
        <f aca="false">IF(D83="","",IF(E83&lt;&gt;"",D83*E83,D83*F83))</f>
        <v/>
      </c>
    </row>
    <row r="84" customFormat="false" ht="19.5" hidden="false" customHeight="true" outlineLevel="0" collapsed="false">
      <c r="A84" s="53"/>
      <c r="B84" s="53"/>
      <c r="C84" s="40"/>
      <c r="D84" s="54"/>
      <c r="E84" s="42"/>
      <c r="F84" s="42"/>
      <c r="G84" s="55" t="str">
        <f aca="false">IF(D84="","",IF(E84&lt;&gt;"",D84*E84,D84*F84))</f>
        <v/>
      </c>
    </row>
    <row r="85" customFormat="false" ht="19.5" hidden="false" customHeight="true" outlineLevel="0" collapsed="false">
      <c r="A85" s="88"/>
      <c r="B85" s="88"/>
      <c r="C85" s="45"/>
      <c r="D85" s="54"/>
      <c r="E85" s="47"/>
      <c r="F85" s="47"/>
      <c r="G85" s="55" t="str">
        <f aca="false">IF(D85="","",IF(E85&lt;&gt;"",D85*E85,D85*F85))</f>
        <v/>
      </c>
    </row>
    <row r="86" customFormat="false" ht="19.5" hidden="false" customHeight="true" outlineLevel="0" collapsed="false">
      <c r="A86" s="53"/>
      <c r="B86" s="53"/>
      <c r="C86" s="40"/>
      <c r="D86" s="54"/>
      <c r="E86" s="42"/>
      <c r="F86" s="42"/>
      <c r="G86" s="55" t="str">
        <f aca="false">IF(D86="","",IF(E86&lt;&gt;"",D86*E86,D86*F86))</f>
        <v/>
      </c>
    </row>
    <row r="87" customFormat="false" ht="19.5" hidden="false" customHeight="true" outlineLevel="0" collapsed="false">
      <c r="A87" s="88"/>
      <c r="B87" s="88"/>
      <c r="C87" s="45"/>
      <c r="D87" s="54"/>
      <c r="E87" s="47"/>
      <c r="F87" s="47"/>
      <c r="G87" s="55" t="str">
        <f aca="false">IF(D87="","",IF(E87&lt;&gt;"",D87*E87,D87*F87))</f>
        <v/>
      </c>
    </row>
    <row r="88" customFormat="false" ht="19.5" hidden="false" customHeight="true" outlineLevel="0" collapsed="false">
      <c r="A88" s="53"/>
      <c r="B88" s="53"/>
      <c r="C88" s="40"/>
      <c r="D88" s="54"/>
      <c r="E88" s="42"/>
      <c r="F88" s="42"/>
      <c r="G88" s="55" t="str">
        <f aca="false">IF(D88="","",IF(E88&lt;&gt;"",D88*E88,D88*F88))</f>
        <v/>
      </c>
    </row>
    <row r="89" customFormat="false" ht="19.5" hidden="false" customHeight="true" outlineLevel="0" collapsed="false">
      <c r="A89" s="88"/>
      <c r="B89" s="88"/>
      <c r="C89" s="45"/>
      <c r="D89" s="54"/>
      <c r="E89" s="47"/>
      <c r="F89" s="47"/>
      <c r="G89" s="55" t="str">
        <f aca="false">IF(D89="","",IF(E89&lt;&gt;"",D89*E89,D89*F89))</f>
        <v/>
      </c>
    </row>
    <row r="90" customFormat="false" ht="19.5" hidden="false" customHeight="true" outlineLevel="0" collapsed="false">
      <c r="A90" s="53"/>
      <c r="B90" s="53"/>
      <c r="C90" s="40"/>
      <c r="D90" s="54"/>
      <c r="E90" s="42"/>
      <c r="F90" s="42"/>
      <c r="G90" s="55" t="str">
        <f aca="false">IF(D90="","",IF(E90&lt;&gt;"",D90*E90,D90*F90))</f>
        <v/>
      </c>
    </row>
    <row r="91" customFormat="false" ht="19.5" hidden="false" customHeight="true" outlineLevel="0" collapsed="false">
      <c r="A91" s="88"/>
      <c r="B91" s="88"/>
      <c r="C91" s="45"/>
      <c r="D91" s="54"/>
      <c r="E91" s="47"/>
      <c r="F91" s="47"/>
      <c r="G91" s="55" t="str">
        <f aca="false">IF(D91="","",IF(E91&lt;&gt;"",D91*E91,D91*F91))</f>
        <v/>
      </c>
    </row>
    <row r="92" customFormat="false" ht="19.5" hidden="false" customHeight="true" outlineLevel="0" collapsed="false">
      <c r="A92" s="53"/>
      <c r="B92" s="53"/>
      <c r="C92" s="40"/>
      <c r="D92" s="54"/>
      <c r="E92" s="42"/>
      <c r="F92" s="42"/>
      <c r="G92" s="55" t="str">
        <f aca="false">IF(D92="","",IF(E92&lt;&gt;"",D92*E92,D92*F92))</f>
        <v/>
      </c>
    </row>
    <row r="93" customFormat="false" ht="19.5" hidden="false" customHeight="true" outlineLevel="0" collapsed="false">
      <c r="A93" s="88"/>
      <c r="B93" s="88"/>
      <c r="C93" s="45"/>
      <c r="D93" s="54"/>
      <c r="E93" s="47"/>
      <c r="F93" s="47"/>
      <c r="G93" s="55" t="str">
        <f aca="false">IF(D93="","",IF(E93&lt;&gt;"",D93*E93,D93*F93))</f>
        <v/>
      </c>
    </row>
    <row r="94" customFormat="false" ht="19.5" hidden="false" customHeight="true" outlineLevel="0" collapsed="false">
      <c r="A94" s="53"/>
      <c r="B94" s="53"/>
      <c r="C94" s="40"/>
      <c r="D94" s="54"/>
      <c r="E94" s="42"/>
      <c r="F94" s="42"/>
      <c r="G94" s="55" t="str">
        <f aca="false">IF(D94="","",IF(E94&lt;&gt;"",D94*E94,D94*F94))</f>
        <v/>
      </c>
    </row>
    <row r="95" customFormat="false" ht="19.5" hidden="false" customHeight="true" outlineLevel="0" collapsed="false">
      <c r="A95" s="88"/>
      <c r="B95" s="88"/>
      <c r="C95" s="45"/>
      <c r="D95" s="54"/>
      <c r="E95" s="47"/>
      <c r="F95" s="47"/>
      <c r="G95" s="55" t="str">
        <f aca="false">IF(D95="","",IF(E95&lt;&gt;"",D95*E95,D95*F95))</f>
        <v/>
      </c>
    </row>
    <row r="96" customFormat="false" ht="19.5" hidden="false" customHeight="true" outlineLevel="0" collapsed="false">
      <c r="A96" s="53"/>
      <c r="B96" s="53"/>
      <c r="C96" s="40"/>
      <c r="D96" s="54"/>
      <c r="E96" s="42"/>
      <c r="F96" s="42"/>
      <c r="G96" s="55" t="str">
        <f aca="false">IF(D96="","",IF(E96&lt;&gt;"",D96*E96,D96*F96))</f>
        <v/>
      </c>
    </row>
    <row r="97" customFormat="false" ht="19.5" hidden="false" customHeight="true" outlineLevel="0" collapsed="false">
      <c r="A97" s="88"/>
      <c r="B97" s="88"/>
      <c r="C97" s="45"/>
      <c r="D97" s="54"/>
      <c r="E97" s="47"/>
      <c r="F97" s="47"/>
      <c r="G97" s="55" t="str">
        <f aca="false">IF(D97="","",IF(E97&lt;&gt;"",D97*E97,D97*F97))</f>
        <v/>
      </c>
    </row>
    <row r="98" customFormat="false" ht="19.5" hidden="false" customHeight="true" outlineLevel="0" collapsed="false">
      <c r="A98" s="53"/>
      <c r="B98" s="53"/>
      <c r="C98" s="40"/>
      <c r="D98" s="54"/>
      <c r="E98" s="42"/>
      <c r="F98" s="42"/>
      <c r="G98" s="55" t="str">
        <f aca="false">IF(D98="","",IF(E98&lt;&gt;"",D98*E98,D98*F98))</f>
        <v/>
      </c>
    </row>
    <row r="99" customFormat="false" ht="19.5" hidden="false" customHeight="true" outlineLevel="0" collapsed="false">
      <c r="A99" s="88"/>
      <c r="B99" s="88"/>
      <c r="C99" s="45"/>
      <c r="D99" s="54"/>
      <c r="E99" s="47"/>
      <c r="F99" s="47"/>
      <c r="G99" s="55" t="str">
        <f aca="false">IF(D99="","",IF(E99&lt;&gt;"",D99*E99,D99*F99))</f>
        <v/>
      </c>
    </row>
    <row r="100" customFormat="false" ht="19.5" hidden="false" customHeight="true" outlineLevel="0" collapsed="false">
      <c r="A100" s="53"/>
      <c r="B100" s="53"/>
      <c r="C100" s="40"/>
      <c r="D100" s="54"/>
      <c r="E100" s="42"/>
      <c r="F100" s="42"/>
      <c r="G100" s="55" t="str">
        <f aca="false">IF(D100="","",IF(E100&lt;&gt;"",D100*E100,D100*F100))</f>
        <v/>
      </c>
    </row>
    <row r="101" customFormat="false" ht="19.5" hidden="false" customHeight="true" outlineLevel="0" collapsed="false">
      <c r="A101" s="88"/>
      <c r="B101" s="88"/>
      <c r="C101" s="45"/>
      <c r="D101" s="54"/>
      <c r="E101" s="47"/>
      <c r="F101" s="47"/>
      <c r="G101" s="55" t="str">
        <f aca="false">IF(D101="","",IF(E101&lt;&gt;"",D101*E101,D101*F101))</f>
        <v/>
      </c>
    </row>
    <row r="102" customFormat="false" ht="19.5" hidden="false" customHeight="true" outlineLevel="0" collapsed="false">
      <c r="A102" s="53"/>
      <c r="B102" s="53"/>
      <c r="C102" s="40"/>
      <c r="D102" s="54"/>
      <c r="E102" s="42"/>
      <c r="F102" s="42"/>
      <c r="G102" s="55" t="str">
        <f aca="false">IF(D102="","",IF(E102&lt;&gt;"",D102*E102,D102*F102))</f>
        <v/>
      </c>
    </row>
    <row r="103" customFormat="false" ht="19.5" hidden="false" customHeight="true" outlineLevel="0" collapsed="false">
      <c r="A103" s="88"/>
      <c r="B103" s="88"/>
      <c r="C103" s="45"/>
      <c r="D103" s="54"/>
      <c r="E103" s="47"/>
      <c r="F103" s="47"/>
      <c r="G103" s="55" t="str">
        <f aca="false">IF(D103="","",IF(E103&lt;&gt;"",D103*E103,D103*F103))</f>
        <v/>
      </c>
    </row>
    <row r="104" customFormat="false" ht="19.5" hidden="false" customHeight="true" outlineLevel="0" collapsed="false">
      <c r="A104" s="53"/>
      <c r="B104" s="53"/>
      <c r="C104" s="40"/>
      <c r="D104" s="54"/>
      <c r="E104" s="42"/>
      <c r="F104" s="42"/>
      <c r="G104" s="55" t="str">
        <f aca="false">IF(D104="","",IF(E104&lt;&gt;"",D104*E104,D104*F104))</f>
        <v/>
      </c>
    </row>
    <row r="105" customFormat="false" ht="19.5" hidden="false" customHeight="true" outlineLevel="0" collapsed="false">
      <c r="A105" s="88"/>
      <c r="B105" s="88"/>
      <c r="C105" s="45"/>
      <c r="D105" s="54"/>
      <c r="E105" s="47"/>
      <c r="F105" s="47"/>
      <c r="G105" s="55" t="str">
        <f aca="false">IF(D105="","",IF(E105&lt;&gt;"",D105*E105,D105*F105))</f>
        <v/>
      </c>
    </row>
    <row r="106" customFormat="false" ht="19.5" hidden="false" customHeight="true" outlineLevel="0" collapsed="false">
      <c r="A106" s="53"/>
      <c r="B106" s="53"/>
      <c r="C106" s="40"/>
      <c r="D106" s="54"/>
      <c r="E106" s="42"/>
      <c r="F106" s="42"/>
      <c r="G106" s="55" t="str">
        <f aca="false">IF(D106="","",IF(E106&lt;&gt;"",D106*E106,D106*F106))</f>
        <v/>
      </c>
    </row>
    <row r="107" customFormat="false" ht="19.5" hidden="false" customHeight="true" outlineLevel="0" collapsed="false">
      <c r="A107" s="88"/>
      <c r="B107" s="88"/>
      <c r="C107" s="45"/>
      <c r="D107" s="54"/>
      <c r="E107" s="47"/>
      <c r="F107" s="47"/>
      <c r="G107" s="55" t="str">
        <f aca="false">IF(D107="","",IF(E107&lt;&gt;"",D107*E107,D107*F107))</f>
        <v/>
      </c>
    </row>
    <row r="108" customFormat="false" ht="19.5" hidden="false" customHeight="true" outlineLevel="0" collapsed="false">
      <c r="A108" s="53"/>
      <c r="B108" s="53"/>
      <c r="C108" s="40"/>
      <c r="D108" s="54"/>
      <c r="E108" s="42"/>
      <c r="F108" s="42"/>
      <c r="G108" s="55" t="str">
        <f aca="false">IF(D108="","",IF(E108&lt;&gt;"",D108*E108,D108*F108))</f>
        <v/>
      </c>
    </row>
    <row r="109" customFormat="false" ht="19.5" hidden="false" customHeight="true" outlineLevel="0" collapsed="false">
      <c r="A109" s="88"/>
      <c r="B109" s="88"/>
      <c r="C109" s="45"/>
      <c r="D109" s="54"/>
      <c r="E109" s="47"/>
      <c r="F109" s="47"/>
      <c r="G109" s="55" t="str">
        <f aca="false">IF(D109="","",IF(E109&lt;&gt;"",D109*E109,D109*F109))</f>
        <v/>
      </c>
    </row>
  </sheetData>
  <mergeCells count="1">
    <mergeCell ref="A3:G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1" topLeftCell="A2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4"/>
    <col collapsed="false" customWidth="true" hidden="false" outlineLevel="0" max="8" min="2" style="1" width="13"/>
    <col collapsed="false" customWidth="true" hidden="false" outlineLevel="0" max="9" min="9" style="1" width="16"/>
    <col collapsed="false" customWidth="true" hidden="false" outlineLevel="0" max="11" min="10" style="1" width="15"/>
    <col collapsed="false" customWidth="true" hidden="false" outlineLevel="0" max="13" min="12" style="1" width="16"/>
  </cols>
  <sheetData>
    <row r="1" customFormat="false" ht="42" hidden="false" customHeight="true" outlineLevel="0" collapsed="false">
      <c r="A1" s="90" t="s">
        <v>148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customFormat="false" ht="18" hidden="false" customHeight="true" outlineLevel="0" collapsed="false">
      <c r="A2" s="91" t="s">
        <v>149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customFormat="false" ht="25.5" hidden="false" customHeight="true" outlineLevel="0" collapsed="false">
      <c r="A3" s="92" t="s">
        <v>150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customFormat="false" ht="21.75" hidden="false" customHeight="true" outlineLevel="0" collapsed="false">
      <c r="A4" s="93" t="s">
        <v>151</v>
      </c>
      <c r="B4" s="93"/>
      <c r="C4" s="93"/>
      <c r="E4" s="93" t="s">
        <v>152</v>
      </c>
      <c r="F4" s="93"/>
      <c r="G4" s="93"/>
      <c r="H4" s="94" t="s">
        <v>153</v>
      </c>
      <c r="I4" s="94"/>
      <c r="J4" s="94"/>
    </row>
    <row r="5" customFormat="false" ht="15" hidden="false" customHeight="true" outlineLevel="0" collapsed="false">
      <c r="A5" s="95" t="s">
        <v>154</v>
      </c>
      <c r="B5" s="96" t="n">
        <f aca="false">'🔥 Dashboard'!B9</f>
        <v>0</v>
      </c>
      <c r="E5" s="95" t="s">
        <v>155</v>
      </c>
      <c r="F5" s="96" t="n">
        <f aca="false">'🔥 Dashboard'!B17</f>
        <v>0</v>
      </c>
      <c r="H5" s="95" t="s">
        <v>156</v>
      </c>
      <c r="I5" s="97" t="n">
        <v>10000</v>
      </c>
    </row>
    <row r="6" customFormat="false" ht="15" hidden="false" customHeight="true" outlineLevel="0" collapsed="false">
      <c r="A6" s="95" t="s">
        <v>157</v>
      </c>
      <c r="B6" s="98" t="n">
        <f aca="false">'🔥 Dashboard'!E7</f>
        <v>0</v>
      </c>
      <c r="E6" s="95" t="s">
        <v>158</v>
      </c>
      <c r="F6" s="98" t="n">
        <f aca="false">'🔥 Dashboard'!E15</f>
        <v>0</v>
      </c>
      <c r="H6" s="95" t="s">
        <v>159</v>
      </c>
      <c r="I6" s="99" t="s">
        <v>160</v>
      </c>
    </row>
    <row r="7" customFormat="false" ht="15" hidden="false" customHeight="true" outlineLevel="0" collapsed="false">
      <c r="A7" s="95" t="s">
        <v>161</v>
      </c>
      <c r="B7" s="98" t="n">
        <f aca="false">'🔥 Dashboard'!E8</f>
        <v>0</v>
      </c>
      <c r="E7" s="95" t="s">
        <v>162</v>
      </c>
      <c r="F7" s="98" t="n">
        <f aca="false">'🔥 Dashboard'!E16</f>
        <v>0</v>
      </c>
      <c r="H7" s="95" t="s">
        <v>163</v>
      </c>
      <c r="I7" s="100" t="n">
        <v>1</v>
      </c>
    </row>
    <row r="8" customFormat="false" ht="15" hidden="false" customHeight="true" outlineLevel="0" collapsed="false">
      <c r="A8" s="95" t="s">
        <v>164</v>
      </c>
      <c r="B8" s="101" t="n">
        <v>0.02</v>
      </c>
      <c r="E8" s="95" t="s">
        <v>165</v>
      </c>
      <c r="F8" s="101" t="n">
        <v>-0.03</v>
      </c>
      <c r="H8" s="95" t="s">
        <v>166</v>
      </c>
      <c r="I8" s="100" t="n">
        <v>1</v>
      </c>
    </row>
    <row r="9" customFormat="false" ht="15" hidden="false" customHeight="true" outlineLevel="0" collapsed="false">
      <c r="A9" s="102" t="s">
        <v>167</v>
      </c>
      <c r="B9" s="103"/>
      <c r="E9" s="102" t="s">
        <v>168</v>
      </c>
      <c r="F9" s="103"/>
      <c r="H9" s="95" t="s">
        <v>169</v>
      </c>
      <c r="I9" s="104" t="n">
        <v>10000</v>
      </c>
    </row>
    <row r="10" customFormat="false" ht="27.75" hidden="false" customHeight="true" outlineLevel="0" collapsed="false">
      <c r="H10" s="105" t="s">
        <v>170</v>
      </c>
      <c r="I10" s="105"/>
      <c r="J10" s="105"/>
      <c r="K10" s="105"/>
    </row>
    <row r="12" customFormat="false" ht="25.5" hidden="false" customHeight="true" outlineLevel="0" collapsed="false">
      <c r="A12" s="92" t="s">
        <v>171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</row>
    <row r="13" customFormat="false" ht="15" hidden="false" customHeight="true" outlineLevel="0" collapsed="false">
      <c r="A13" s="95" t="s">
        <v>172</v>
      </c>
      <c r="B13" s="106" t="n">
        <f aca="false">'🔥 Dashboard'!F7</f>
        <v>0</v>
      </c>
      <c r="E13" s="95" t="s">
        <v>173</v>
      </c>
      <c r="F13" s="107" t="n">
        <f aca="false">'🔥 Dashboard'!F15</f>
        <v>0</v>
      </c>
    </row>
    <row r="14" customFormat="false" ht="15" hidden="false" customHeight="true" outlineLevel="0" collapsed="false">
      <c r="A14" s="95" t="s">
        <v>174</v>
      </c>
      <c r="B14" s="106" t="n">
        <f aca="false">'🔥 Dashboard'!F8</f>
        <v>0</v>
      </c>
      <c r="E14" s="95" t="s">
        <v>175</v>
      </c>
      <c r="F14" s="107" t="n">
        <f aca="false">'🔥 Dashboard'!F16</f>
        <v>0</v>
      </c>
    </row>
    <row r="15" customFormat="false" ht="15" hidden="false" customHeight="true" outlineLevel="0" collapsed="false">
      <c r="A15" s="95" t="s">
        <v>176</v>
      </c>
      <c r="B15" s="106" t="n">
        <f aca="false">'🔥 Dashboard'!F9</f>
        <v>0</v>
      </c>
      <c r="E15" s="95" t="s">
        <v>177</v>
      </c>
      <c r="F15" s="107" t="n">
        <f aca="false">'🔥 Dashboard'!F17</f>
        <v>0</v>
      </c>
    </row>
    <row r="16" customFormat="false" ht="15" hidden="false" customHeight="true" outlineLevel="0" collapsed="false">
      <c r="A16" s="95" t="s">
        <v>178</v>
      </c>
      <c r="B16" s="106" t="n">
        <f aca="false">'🔥 Dashboard'!D24</f>
        <v>0</v>
      </c>
      <c r="E16" s="95" t="s">
        <v>179</v>
      </c>
      <c r="F16" s="107" t="n">
        <f aca="false">'🔥 Dashboard'!D25</f>
        <v>0</v>
      </c>
    </row>
    <row r="17" customFormat="false" ht="15" hidden="false" customHeight="true" outlineLevel="0" collapsed="false">
      <c r="A17" s="95" t="s">
        <v>180</v>
      </c>
      <c r="B17" s="106" t="n">
        <f aca="false">10000*'🔥 Dashboard'!E7</f>
        <v>0</v>
      </c>
      <c r="E17" s="95" t="s">
        <v>181</v>
      </c>
      <c r="F17" s="107" t="n">
        <f aca="false">10000*'🔥 Dashboard'!E15</f>
        <v>0</v>
      </c>
    </row>
    <row r="18" customFormat="false" ht="15" hidden="false" customHeight="true" outlineLevel="0" collapsed="false">
      <c r="A18" s="95" t="s">
        <v>182</v>
      </c>
      <c r="B18" s="106" t="n">
        <f aca="false">(10000*'🔥 Dashboard'!E7+10000*'🔥 Dashboard'!E15)*4</f>
        <v>0</v>
      </c>
      <c r="E18" s="95" t="s">
        <v>183</v>
      </c>
      <c r="F18" s="107" t="n">
        <f aca="false">I5</f>
        <v>10000</v>
      </c>
    </row>
    <row r="20" customFormat="false" ht="25.5" hidden="false" customHeight="true" outlineLevel="0" collapsed="false">
      <c r="A20" s="108" t="s">
        <v>184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08"/>
    </row>
    <row r="21" customFormat="false" ht="30" hidden="false" customHeight="true" outlineLevel="0" collapsed="false">
      <c r="A21" s="72" t="s">
        <v>185</v>
      </c>
      <c r="B21" s="72" t="s">
        <v>69</v>
      </c>
      <c r="C21" s="72" t="s">
        <v>81</v>
      </c>
      <c r="D21" s="72" t="s">
        <v>80</v>
      </c>
      <c r="E21" s="72" t="s">
        <v>82</v>
      </c>
      <c r="F21" s="72" t="s">
        <v>84</v>
      </c>
      <c r="G21" s="72" t="s">
        <v>83</v>
      </c>
      <c r="H21" s="72" t="s">
        <v>85</v>
      </c>
      <c r="I21" s="72" t="s">
        <v>186</v>
      </c>
      <c r="J21" s="72" t="s">
        <v>187</v>
      </c>
      <c r="K21" s="72" t="s">
        <v>188</v>
      </c>
      <c r="L21" s="109" t="s">
        <v>189</v>
      </c>
      <c r="M21" s="72" t="s">
        <v>190</v>
      </c>
    </row>
    <row r="22" customFormat="false" ht="15" hidden="false" customHeight="true" outlineLevel="0" collapsed="false">
      <c r="A22" s="110" t="s">
        <v>191</v>
      </c>
      <c r="B22" s="111" t="n">
        <f aca="false">DATE(2026,3,13)+7*(1-1)</f>
        <v>46094</v>
      </c>
      <c r="C22" s="112" t="n">
        <f aca="false">'🔥 Dashboard'!B9</f>
        <v>0</v>
      </c>
      <c r="D22" s="113" t="n">
        <f aca="false">'🔥 Dashboard'!E7</f>
        <v>0</v>
      </c>
      <c r="E22" s="106" t="n">
        <f aca="false">C22*D22</f>
        <v>0</v>
      </c>
      <c r="F22" s="112" t="n">
        <f aca="false">'🔥 Dashboard'!B17</f>
        <v>0</v>
      </c>
      <c r="G22" s="113" t="n">
        <f aca="false">'🔥 Dashboard'!E15</f>
        <v>0</v>
      </c>
      <c r="H22" s="106" t="n">
        <f aca="false">F22*G22</f>
        <v>0</v>
      </c>
      <c r="I22" s="114" t="n">
        <f aca="false">E22+H22</f>
        <v>0</v>
      </c>
      <c r="J22" s="115" t="n">
        <f aca="false">(E22+H22)*4</f>
        <v>0</v>
      </c>
      <c r="K22" s="116" t="str">
        <f aca="false">IF(UPPER($I$6)="ON","✅ DRIP ON — compounding","💵 CASH — deploy to dips")</f>
        <v>✅ DRIP ON — compounding</v>
      </c>
      <c r="L22" s="106" t="n">
        <f aca="false">IF(UPPER($I$6)="ON",I22*$I$8,0)</f>
        <v>0</v>
      </c>
      <c r="M22" s="117" t="n">
        <f aca="false">IF(UPPER($I$6)="ON",I22*(1-$I$8),I22)</f>
        <v>0</v>
      </c>
    </row>
    <row r="23" customFormat="false" ht="15" hidden="false" customHeight="true" outlineLevel="0" collapsed="false">
      <c r="A23" s="118" t="s">
        <v>192</v>
      </c>
      <c r="B23" s="119" t="n">
        <f aca="false">DATE(2026,3,13)+7*(2-1)</f>
        <v>46101</v>
      </c>
      <c r="C23" s="120" t="n">
        <f aca="false">C22+IF(UPPER($I$6)="ON",E22*$I$8/MAX($B$9,0.01),0)</f>
        <v>0</v>
      </c>
      <c r="D23" s="121" t="n">
        <f aca="false">D22*(1+$B$8/52)</f>
        <v>0</v>
      </c>
      <c r="E23" s="122" t="n">
        <f aca="false">C23*D23</f>
        <v>0</v>
      </c>
      <c r="F23" s="120" t="n">
        <f aca="false">F22+IF(UPPER($I$6)="ON",H22*$I$8/MAX($F$9,0.01),0)</f>
        <v>0</v>
      </c>
      <c r="G23" s="121" t="n">
        <f aca="false">G22*(1+$F$8/52)</f>
        <v>0</v>
      </c>
      <c r="H23" s="122" t="n">
        <f aca="false">F23*G23</f>
        <v>0</v>
      </c>
      <c r="I23" s="123" t="n">
        <f aca="false">E23+H23</f>
        <v>0</v>
      </c>
      <c r="J23" s="124" t="n">
        <f aca="false">(E23+H23)*4</f>
        <v>0</v>
      </c>
      <c r="K23" s="125" t="str">
        <f aca="false">IF(UPPER($I$6)="ON","✅ DRIP ON — compounding","💵 CASH — deploy to dips")</f>
        <v>✅ DRIP ON — compounding</v>
      </c>
      <c r="L23" s="106" t="n">
        <f aca="false">IF(UPPER($I$6)="ON",I23*$I$8,0)</f>
        <v>0</v>
      </c>
      <c r="M23" s="117" t="n">
        <f aca="false">IF(UPPER($I$6)="ON",I23*(1-$I$8),I23)</f>
        <v>0</v>
      </c>
    </row>
    <row r="24" customFormat="false" ht="15" hidden="false" customHeight="true" outlineLevel="0" collapsed="false">
      <c r="A24" s="126" t="s">
        <v>193</v>
      </c>
      <c r="B24" s="127" t="n">
        <f aca="false">DATE(2026,3,13)+7*(3-1)</f>
        <v>46108</v>
      </c>
      <c r="C24" s="128" t="n">
        <f aca="false">C23+IF(UPPER($I$6)="ON",E23*$I$8/MAX($B$9,0.01),0)</f>
        <v>0</v>
      </c>
      <c r="D24" s="129" t="n">
        <f aca="false">D23*(1+$B$8/52)</f>
        <v>0</v>
      </c>
      <c r="E24" s="130" t="n">
        <f aca="false">C24*D24</f>
        <v>0</v>
      </c>
      <c r="F24" s="128" t="n">
        <f aca="false">F23+IF(UPPER($I$6)="ON",H23*$I$8/MAX($F$9,0.01),0)</f>
        <v>0</v>
      </c>
      <c r="G24" s="129" t="n">
        <f aca="false">G23*(1+$F$8/52)</f>
        <v>0</v>
      </c>
      <c r="H24" s="130" t="n">
        <f aca="false">F24*G24</f>
        <v>0</v>
      </c>
      <c r="I24" s="131" t="n">
        <f aca="false">E24+H24</f>
        <v>0</v>
      </c>
      <c r="J24" s="132" t="n">
        <f aca="false">(E24+H24)*4</f>
        <v>0</v>
      </c>
      <c r="K24" s="133" t="str">
        <f aca="false">IF(UPPER($I$6)="ON","✅ DRIP ON — compounding","💵 CASH — deploy to dips")</f>
        <v>✅ DRIP ON — compounding</v>
      </c>
      <c r="L24" s="106" t="n">
        <f aca="false">IF(UPPER($I$6)="ON",I24*$I$8,0)</f>
        <v>0</v>
      </c>
      <c r="M24" s="117" t="n">
        <f aca="false">IF(UPPER($I$6)="ON",I24*(1-$I$8),I24)</f>
        <v>0</v>
      </c>
    </row>
    <row r="25" customFormat="false" ht="15" hidden="false" customHeight="true" outlineLevel="0" collapsed="false">
      <c r="A25" s="118" t="s">
        <v>194</v>
      </c>
      <c r="B25" s="119" t="n">
        <f aca="false">DATE(2026,3,13)+7*(4-1)</f>
        <v>46115</v>
      </c>
      <c r="C25" s="120" t="n">
        <f aca="false">C24+IF(UPPER($I$6)="ON",E24*$I$8/MAX($B$9,0.01),0)</f>
        <v>0</v>
      </c>
      <c r="D25" s="121" t="n">
        <f aca="false">D24*(1+$B$8/52)</f>
        <v>0</v>
      </c>
      <c r="E25" s="122" t="n">
        <f aca="false">C25*D25</f>
        <v>0</v>
      </c>
      <c r="F25" s="120" t="n">
        <f aca="false">F24+IF(UPPER($I$6)="ON",H24*$I$8/MAX($F$9,0.01),0)</f>
        <v>0</v>
      </c>
      <c r="G25" s="121" t="n">
        <f aca="false">G24*(1+$F$8/52)</f>
        <v>0</v>
      </c>
      <c r="H25" s="122" t="n">
        <f aca="false">F25*G25</f>
        <v>0</v>
      </c>
      <c r="I25" s="123" t="n">
        <f aca="false">E25+H25</f>
        <v>0</v>
      </c>
      <c r="J25" s="124" t="n">
        <f aca="false">(E25+H25)*4</f>
        <v>0</v>
      </c>
      <c r="K25" s="125" t="str">
        <f aca="false">IF(UPPER($I$6)="ON","✅ DRIP ON — compounding","💵 CASH — deploy to dips")</f>
        <v>✅ DRIP ON — compounding</v>
      </c>
      <c r="L25" s="106" t="n">
        <f aca="false">IF(UPPER($I$6)="ON",I25*$I$8,0)</f>
        <v>0</v>
      </c>
      <c r="M25" s="117" t="n">
        <f aca="false">IF(UPPER($I$6)="ON",I25*(1-$I$8),I25)</f>
        <v>0</v>
      </c>
    </row>
    <row r="26" customFormat="false" ht="15" hidden="false" customHeight="true" outlineLevel="0" collapsed="false">
      <c r="A26" s="126" t="s">
        <v>195</v>
      </c>
      <c r="B26" s="127" t="n">
        <f aca="false">DATE(2026,3,13)+7*(5-1)</f>
        <v>46122</v>
      </c>
      <c r="C26" s="128" t="n">
        <f aca="false">C25+IF(UPPER($I$6)="ON",E25*$I$8/MAX($B$9,0.01),0)</f>
        <v>0</v>
      </c>
      <c r="D26" s="129" t="n">
        <f aca="false">D25*(1+$B$8/52)</f>
        <v>0</v>
      </c>
      <c r="E26" s="130" t="n">
        <f aca="false">C26*D26</f>
        <v>0</v>
      </c>
      <c r="F26" s="128" t="n">
        <f aca="false">F25+IF(UPPER($I$6)="ON",H25*$I$8/MAX($F$9,0.01),0)</f>
        <v>0</v>
      </c>
      <c r="G26" s="129" t="n">
        <f aca="false">G25*(1+$F$8/52)</f>
        <v>0</v>
      </c>
      <c r="H26" s="130" t="n">
        <f aca="false">F26*G26</f>
        <v>0</v>
      </c>
      <c r="I26" s="131" t="n">
        <f aca="false">E26+H26</f>
        <v>0</v>
      </c>
      <c r="J26" s="132" t="n">
        <f aca="false">(E26+H26)*4</f>
        <v>0</v>
      </c>
      <c r="K26" s="133" t="str">
        <f aca="false">IF(UPPER($I$6)="ON","✅ DRIP ON — compounding","💵 CASH — deploy to dips")</f>
        <v>✅ DRIP ON — compounding</v>
      </c>
      <c r="L26" s="106" t="n">
        <f aca="false">IF(UPPER($I$6)="ON",I26*$I$8,0)</f>
        <v>0</v>
      </c>
      <c r="M26" s="117" t="n">
        <f aca="false">IF(UPPER($I$6)="ON",I26*(1-$I$8),I26)</f>
        <v>0</v>
      </c>
    </row>
    <row r="27" customFormat="false" ht="15" hidden="false" customHeight="true" outlineLevel="0" collapsed="false">
      <c r="A27" s="118" t="s">
        <v>196</v>
      </c>
      <c r="B27" s="119" t="n">
        <f aca="false">DATE(2026,3,13)+7*(6-1)</f>
        <v>46129</v>
      </c>
      <c r="C27" s="120" t="n">
        <f aca="false">C26+IF(UPPER($I$6)="ON",E26*$I$8/MAX($B$9,0.01),0)</f>
        <v>0</v>
      </c>
      <c r="D27" s="121" t="n">
        <f aca="false">D26*(1+$B$8/52)</f>
        <v>0</v>
      </c>
      <c r="E27" s="122" t="n">
        <f aca="false">C27*D27</f>
        <v>0</v>
      </c>
      <c r="F27" s="120" t="n">
        <f aca="false">F26+IF(UPPER($I$6)="ON",H26*$I$8/MAX($F$9,0.01),0)</f>
        <v>0</v>
      </c>
      <c r="G27" s="121" t="n">
        <f aca="false">G26*(1+$F$8/52)</f>
        <v>0</v>
      </c>
      <c r="H27" s="122" t="n">
        <f aca="false">F27*G27</f>
        <v>0</v>
      </c>
      <c r="I27" s="123" t="n">
        <f aca="false">E27+H27</f>
        <v>0</v>
      </c>
      <c r="J27" s="124" t="n">
        <f aca="false">(E27+H27)*4</f>
        <v>0</v>
      </c>
      <c r="K27" s="125" t="str">
        <f aca="false">IF(UPPER($I$6)="ON","✅ DRIP ON — compounding","💵 CASH — deploy to dips")</f>
        <v>✅ DRIP ON — compounding</v>
      </c>
      <c r="L27" s="106" t="n">
        <f aca="false">IF(UPPER($I$6)="ON",I27*$I$8,0)</f>
        <v>0</v>
      </c>
      <c r="M27" s="117" t="n">
        <f aca="false">IF(UPPER($I$6)="ON",I27*(1-$I$8),I27)</f>
        <v>0</v>
      </c>
    </row>
    <row r="28" customFormat="false" ht="15" hidden="false" customHeight="true" outlineLevel="0" collapsed="false">
      <c r="A28" s="126" t="s">
        <v>197</v>
      </c>
      <c r="B28" s="127" t="n">
        <f aca="false">DATE(2026,3,13)+7*(7-1)</f>
        <v>46136</v>
      </c>
      <c r="C28" s="128" t="n">
        <f aca="false">C27+IF(UPPER($I$6)="ON",E27*$I$8/MAX($B$9,0.01),0)</f>
        <v>0</v>
      </c>
      <c r="D28" s="129" t="n">
        <f aca="false">D27*(1+$B$8/52)</f>
        <v>0</v>
      </c>
      <c r="E28" s="130" t="n">
        <f aca="false">C28*D28</f>
        <v>0</v>
      </c>
      <c r="F28" s="128" t="n">
        <f aca="false">F27+IF(UPPER($I$6)="ON",H27*$I$8/MAX($F$9,0.01),0)</f>
        <v>0</v>
      </c>
      <c r="G28" s="129" t="n">
        <f aca="false">G27*(1+$F$8/52)</f>
        <v>0</v>
      </c>
      <c r="H28" s="130" t="n">
        <f aca="false">F28*G28</f>
        <v>0</v>
      </c>
      <c r="I28" s="131" t="n">
        <f aca="false">E28+H28</f>
        <v>0</v>
      </c>
      <c r="J28" s="132" t="n">
        <f aca="false">(E28+H28)*4</f>
        <v>0</v>
      </c>
      <c r="K28" s="133" t="str">
        <f aca="false">IF(UPPER($I$6)="ON","✅ DRIP ON — compounding","💵 CASH — deploy to dips")</f>
        <v>✅ DRIP ON — compounding</v>
      </c>
      <c r="L28" s="106" t="n">
        <f aca="false">IF(UPPER($I$6)="ON",I28*$I$8,0)</f>
        <v>0</v>
      </c>
      <c r="M28" s="117" t="n">
        <f aca="false">IF(UPPER($I$6)="ON",I28*(1-$I$8),I28)</f>
        <v>0</v>
      </c>
    </row>
    <row r="29" customFormat="false" ht="15" hidden="false" customHeight="true" outlineLevel="0" collapsed="false">
      <c r="A29" s="118" t="s">
        <v>198</v>
      </c>
      <c r="B29" s="119" t="n">
        <f aca="false">DATE(2026,3,13)+7*(8-1)</f>
        <v>46143</v>
      </c>
      <c r="C29" s="120" t="n">
        <f aca="false">C28+IF(UPPER($I$6)="ON",E28*$I$8/MAX($B$9,0.01),0)</f>
        <v>0</v>
      </c>
      <c r="D29" s="121" t="n">
        <f aca="false">D28*(1+$B$8/52)</f>
        <v>0</v>
      </c>
      <c r="E29" s="122" t="n">
        <f aca="false">C29*D29</f>
        <v>0</v>
      </c>
      <c r="F29" s="120" t="n">
        <f aca="false">F28+IF(UPPER($I$6)="ON",H28*$I$8/MAX($F$9,0.01),0)</f>
        <v>0</v>
      </c>
      <c r="G29" s="121" t="n">
        <f aca="false">G28*(1+$F$8/52)</f>
        <v>0</v>
      </c>
      <c r="H29" s="122" t="n">
        <f aca="false">F29*G29</f>
        <v>0</v>
      </c>
      <c r="I29" s="123" t="n">
        <f aca="false">E29+H29</f>
        <v>0</v>
      </c>
      <c r="J29" s="124" t="n">
        <f aca="false">(E29+H29)*4</f>
        <v>0</v>
      </c>
      <c r="K29" s="125" t="str">
        <f aca="false">IF(UPPER($I$6)="ON","✅ DRIP ON — compounding","💵 CASH — deploy to dips")</f>
        <v>✅ DRIP ON — compounding</v>
      </c>
      <c r="L29" s="106" t="n">
        <f aca="false">IF(UPPER($I$6)="ON",I29*$I$8,0)</f>
        <v>0</v>
      </c>
      <c r="M29" s="117" t="n">
        <f aca="false">IF(UPPER($I$6)="ON",I29*(1-$I$8),I29)</f>
        <v>0</v>
      </c>
    </row>
    <row r="30" customFormat="false" ht="15" hidden="false" customHeight="true" outlineLevel="0" collapsed="false">
      <c r="A30" s="126" t="s">
        <v>199</v>
      </c>
      <c r="B30" s="127" t="n">
        <f aca="false">DATE(2026,3,13)+7*(9-1)</f>
        <v>46150</v>
      </c>
      <c r="C30" s="128" t="n">
        <f aca="false">C29+IF(UPPER($I$6)="ON",E29*$I$8/MAX($B$9,0.01),0)</f>
        <v>0</v>
      </c>
      <c r="D30" s="129" t="n">
        <f aca="false">D29*(1+$B$8/52)</f>
        <v>0</v>
      </c>
      <c r="E30" s="130" t="n">
        <f aca="false">C30*D30</f>
        <v>0</v>
      </c>
      <c r="F30" s="128" t="n">
        <f aca="false">F29+IF(UPPER($I$6)="ON",H29*$I$8/MAX($F$9,0.01),0)</f>
        <v>0</v>
      </c>
      <c r="G30" s="129" t="n">
        <f aca="false">G29*(1+$F$8/52)</f>
        <v>0</v>
      </c>
      <c r="H30" s="130" t="n">
        <f aca="false">F30*G30</f>
        <v>0</v>
      </c>
      <c r="I30" s="131" t="n">
        <f aca="false">E30+H30</f>
        <v>0</v>
      </c>
      <c r="J30" s="132" t="n">
        <f aca="false">(E30+H30)*4</f>
        <v>0</v>
      </c>
      <c r="K30" s="133" t="str">
        <f aca="false">IF(UPPER($I$6)="ON","✅ DRIP ON — compounding","💵 CASH — deploy to dips")</f>
        <v>✅ DRIP ON — compounding</v>
      </c>
      <c r="L30" s="106" t="n">
        <f aca="false">IF(UPPER($I$6)="ON",I30*$I$8,0)</f>
        <v>0</v>
      </c>
      <c r="M30" s="117" t="n">
        <f aca="false">IF(UPPER($I$6)="ON",I30*(1-$I$8),I30)</f>
        <v>0</v>
      </c>
    </row>
    <row r="31" customFormat="false" ht="15" hidden="false" customHeight="true" outlineLevel="0" collapsed="false">
      <c r="A31" s="118" t="s">
        <v>200</v>
      </c>
      <c r="B31" s="119" t="n">
        <f aca="false">DATE(2026,3,13)+7*(10-1)</f>
        <v>46157</v>
      </c>
      <c r="C31" s="120" t="n">
        <f aca="false">C30+IF(UPPER($I$6)="ON",E30*$I$8/MAX($B$9,0.01),0)</f>
        <v>0</v>
      </c>
      <c r="D31" s="121" t="n">
        <f aca="false">D30*(1+$B$8/52)</f>
        <v>0</v>
      </c>
      <c r="E31" s="122" t="n">
        <f aca="false">C31*D31</f>
        <v>0</v>
      </c>
      <c r="F31" s="120" t="n">
        <f aca="false">F30+IF(UPPER($I$6)="ON",H30*$I$8/MAX($F$9,0.01),0)</f>
        <v>0</v>
      </c>
      <c r="G31" s="121" t="n">
        <f aca="false">G30*(1+$F$8/52)</f>
        <v>0</v>
      </c>
      <c r="H31" s="122" t="n">
        <f aca="false">F31*G31</f>
        <v>0</v>
      </c>
      <c r="I31" s="123" t="n">
        <f aca="false">E31+H31</f>
        <v>0</v>
      </c>
      <c r="J31" s="124" t="n">
        <f aca="false">(E31+H31)*4</f>
        <v>0</v>
      </c>
      <c r="K31" s="125" t="str">
        <f aca="false">IF(UPPER($I$6)="ON","✅ DRIP ON — compounding","💵 CASH — deploy to dips")</f>
        <v>✅ DRIP ON — compounding</v>
      </c>
      <c r="L31" s="106" t="n">
        <f aca="false">IF(UPPER($I$6)="ON",I31*$I$8,0)</f>
        <v>0</v>
      </c>
      <c r="M31" s="117" t="n">
        <f aca="false">IF(UPPER($I$6)="ON",I31*(1-$I$8),I31)</f>
        <v>0</v>
      </c>
    </row>
    <row r="32" customFormat="false" ht="15" hidden="false" customHeight="true" outlineLevel="0" collapsed="false">
      <c r="A32" s="126" t="s">
        <v>201</v>
      </c>
      <c r="B32" s="127" t="n">
        <f aca="false">DATE(2026,3,13)+7*(11-1)</f>
        <v>46164</v>
      </c>
      <c r="C32" s="128" t="n">
        <f aca="false">C31+IF(UPPER($I$6)="ON",E31*$I$8/MAX($B$9,0.01),0)</f>
        <v>0</v>
      </c>
      <c r="D32" s="129" t="n">
        <f aca="false">D31*(1+$B$8/52)</f>
        <v>0</v>
      </c>
      <c r="E32" s="130" t="n">
        <f aca="false">C32*D32</f>
        <v>0</v>
      </c>
      <c r="F32" s="128" t="n">
        <f aca="false">F31+IF(UPPER($I$6)="ON",H31*$I$8/MAX($F$9,0.01),0)</f>
        <v>0</v>
      </c>
      <c r="G32" s="129" t="n">
        <f aca="false">G31*(1+$F$8/52)</f>
        <v>0</v>
      </c>
      <c r="H32" s="130" t="n">
        <f aca="false">F32*G32</f>
        <v>0</v>
      </c>
      <c r="I32" s="131" t="n">
        <f aca="false">E32+H32</f>
        <v>0</v>
      </c>
      <c r="J32" s="132" t="n">
        <f aca="false">(E32+H32)*4</f>
        <v>0</v>
      </c>
      <c r="K32" s="133" t="str">
        <f aca="false">IF(UPPER($I$6)="ON","✅ DRIP ON — compounding","💵 CASH — deploy to dips")</f>
        <v>✅ DRIP ON — compounding</v>
      </c>
      <c r="L32" s="106" t="n">
        <f aca="false">IF(UPPER($I$6)="ON",I32*$I$8,0)</f>
        <v>0</v>
      </c>
      <c r="M32" s="117" t="n">
        <f aca="false">IF(UPPER($I$6)="ON",I32*(1-$I$8),I32)</f>
        <v>0</v>
      </c>
    </row>
    <row r="33" customFormat="false" ht="15" hidden="false" customHeight="true" outlineLevel="0" collapsed="false">
      <c r="A33" s="118" t="s">
        <v>202</v>
      </c>
      <c r="B33" s="119" t="n">
        <f aca="false">DATE(2026,3,13)+7*(12-1)</f>
        <v>46171</v>
      </c>
      <c r="C33" s="120" t="n">
        <f aca="false">C32+IF(UPPER($I$6)="ON",E32*$I$8/MAX($B$9,0.01),0)</f>
        <v>0</v>
      </c>
      <c r="D33" s="121" t="n">
        <f aca="false">D32*(1+$B$8/52)</f>
        <v>0</v>
      </c>
      <c r="E33" s="122" t="n">
        <f aca="false">C33*D33</f>
        <v>0</v>
      </c>
      <c r="F33" s="120" t="n">
        <f aca="false">F32+IF(UPPER($I$6)="ON",H32*$I$8/MAX($F$9,0.01),0)</f>
        <v>0</v>
      </c>
      <c r="G33" s="121" t="n">
        <f aca="false">G32*(1+$F$8/52)</f>
        <v>0</v>
      </c>
      <c r="H33" s="122" t="n">
        <f aca="false">F33*G33</f>
        <v>0</v>
      </c>
      <c r="I33" s="123" t="n">
        <f aca="false">E33+H33</f>
        <v>0</v>
      </c>
      <c r="J33" s="124" t="n">
        <f aca="false">(E33+H33)*4</f>
        <v>0</v>
      </c>
      <c r="K33" s="125" t="str">
        <f aca="false">IF(UPPER($I$6)="ON","✅ DRIP ON — compounding","💵 CASH — deploy to dips")</f>
        <v>✅ DRIP ON — compounding</v>
      </c>
      <c r="L33" s="106" t="n">
        <f aca="false">IF(UPPER($I$6)="ON",I33*$I$8,0)</f>
        <v>0</v>
      </c>
      <c r="M33" s="117" t="n">
        <f aca="false">IF(UPPER($I$6)="ON",I33*(1-$I$8),I33)</f>
        <v>0</v>
      </c>
    </row>
    <row r="34" customFormat="false" ht="15" hidden="false" customHeight="true" outlineLevel="0" collapsed="false">
      <c r="A34" s="126" t="s">
        <v>203</v>
      </c>
      <c r="B34" s="127" t="n">
        <f aca="false">DATE(2026,3,13)+7*(13-1)</f>
        <v>46178</v>
      </c>
      <c r="C34" s="128" t="n">
        <f aca="false">C33+IF(UPPER($I$6)="ON",E33*$I$8/MAX($B$9,0.01),0)</f>
        <v>0</v>
      </c>
      <c r="D34" s="129" t="n">
        <f aca="false">D33*(1+$B$8/52)</f>
        <v>0</v>
      </c>
      <c r="E34" s="130" t="n">
        <f aca="false">C34*D34</f>
        <v>0</v>
      </c>
      <c r="F34" s="128" t="n">
        <f aca="false">F33+IF(UPPER($I$6)="ON",H33*$I$8/MAX($F$9,0.01),0)</f>
        <v>0</v>
      </c>
      <c r="G34" s="129" t="n">
        <f aca="false">G33*(1+$F$8/52)</f>
        <v>0</v>
      </c>
      <c r="H34" s="130" t="n">
        <f aca="false">F34*G34</f>
        <v>0</v>
      </c>
      <c r="I34" s="131" t="n">
        <f aca="false">E34+H34</f>
        <v>0</v>
      </c>
      <c r="J34" s="132" t="n">
        <f aca="false">(E34+H34)*4</f>
        <v>0</v>
      </c>
      <c r="K34" s="133" t="str">
        <f aca="false">IF(UPPER($I$6)="ON","✅ DRIP ON — compounding","💵 CASH — deploy to dips")</f>
        <v>✅ DRIP ON — compounding</v>
      </c>
      <c r="L34" s="106" t="n">
        <f aca="false">IF(UPPER($I$6)="ON",I34*$I$8,0)</f>
        <v>0</v>
      </c>
      <c r="M34" s="117" t="n">
        <f aca="false">IF(UPPER($I$6)="ON",I34*(1-$I$8),I34)</f>
        <v>0</v>
      </c>
    </row>
    <row r="35" customFormat="false" ht="15" hidden="false" customHeight="true" outlineLevel="0" collapsed="false">
      <c r="A35" s="118" t="s">
        <v>204</v>
      </c>
      <c r="B35" s="119" t="n">
        <f aca="false">DATE(2026,3,13)+7*(14-1)</f>
        <v>46185</v>
      </c>
      <c r="C35" s="120" t="n">
        <f aca="false">C34+IF(UPPER($I$6)="ON",E34*$I$8/MAX($B$9,0.01),0)</f>
        <v>0</v>
      </c>
      <c r="D35" s="121" t="n">
        <f aca="false">D34*(1+$B$8/52)</f>
        <v>0</v>
      </c>
      <c r="E35" s="122" t="n">
        <f aca="false">C35*D35</f>
        <v>0</v>
      </c>
      <c r="F35" s="120" t="n">
        <f aca="false">F34+IF(UPPER($I$6)="ON",H34*$I$8/MAX($F$9,0.01),0)</f>
        <v>0</v>
      </c>
      <c r="G35" s="121" t="n">
        <f aca="false">G34*(1+$F$8/52)</f>
        <v>0</v>
      </c>
      <c r="H35" s="122" t="n">
        <f aca="false">F35*G35</f>
        <v>0</v>
      </c>
      <c r="I35" s="123" t="n">
        <f aca="false">E35+H35</f>
        <v>0</v>
      </c>
      <c r="J35" s="124" t="n">
        <f aca="false">(E35+H35)*4</f>
        <v>0</v>
      </c>
      <c r="K35" s="125" t="str">
        <f aca="false">IF(UPPER($I$6)="ON","✅ DRIP ON — compounding","💵 CASH — deploy to dips")</f>
        <v>✅ DRIP ON — compounding</v>
      </c>
      <c r="L35" s="106" t="n">
        <f aca="false">IF(UPPER($I$6)="ON",I35*$I$8,0)</f>
        <v>0</v>
      </c>
      <c r="M35" s="117" t="n">
        <f aca="false">IF(UPPER($I$6)="ON",I35*(1-$I$8),I35)</f>
        <v>0</v>
      </c>
    </row>
    <row r="36" customFormat="false" ht="15" hidden="false" customHeight="true" outlineLevel="0" collapsed="false">
      <c r="A36" s="126" t="s">
        <v>205</v>
      </c>
      <c r="B36" s="127" t="n">
        <f aca="false">DATE(2026,3,13)+7*(15-1)</f>
        <v>46192</v>
      </c>
      <c r="C36" s="128" t="n">
        <f aca="false">C35+IF(UPPER($I$6)="ON",E35*$I$8/MAX($B$9,0.01),0)</f>
        <v>0</v>
      </c>
      <c r="D36" s="129" t="n">
        <f aca="false">D35*(1+$B$8/52)</f>
        <v>0</v>
      </c>
      <c r="E36" s="130" t="n">
        <f aca="false">C36*D36</f>
        <v>0</v>
      </c>
      <c r="F36" s="128" t="n">
        <f aca="false">F35+IF(UPPER($I$6)="ON",H35*$I$8/MAX($F$9,0.01),0)</f>
        <v>0</v>
      </c>
      <c r="G36" s="129" t="n">
        <f aca="false">G35*(1+$F$8/52)</f>
        <v>0</v>
      </c>
      <c r="H36" s="130" t="n">
        <f aca="false">F36*G36</f>
        <v>0</v>
      </c>
      <c r="I36" s="131" t="n">
        <f aca="false">E36+H36</f>
        <v>0</v>
      </c>
      <c r="J36" s="132" t="n">
        <f aca="false">(E36+H36)*4</f>
        <v>0</v>
      </c>
      <c r="K36" s="133" t="str">
        <f aca="false">IF(UPPER($I$6)="ON","✅ DRIP ON — compounding","💵 CASH — deploy to dips")</f>
        <v>✅ DRIP ON — compounding</v>
      </c>
      <c r="L36" s="106" t="n">
        <f aca="false">IF(UPPER($I$6)="ON",I36*$I$8,0)</f>
        <v>0</v>
      </c>
      <c r="M36" s="117" t="n">
        <f aca="false">IF(UPPER($I$6)="ON",I36*(1-$I$8),I36)</f>
        <v>0</v>
      </c>
    </row>
    <row r="37" customFormat="false" ht="15" hidden="false" customHeight="true" outlineLevel="0" collapsed="false">
      <c r="A37" s="118" t="s">
        <v>206</v>
      </c>
      <c r="B37" s="119" t="n">
        <f aca="false">DATE(2026,3,13)+7*(16-1)</f>
        <v>46199</v>
      </c>
      <c r="C37" s="120" t="n">
        <f aca="false">C36+IF(UPPER($I$6)="ON",E36*$I$8/MAX($B$9,0.01),0)</f>
        <v>0</v>
      </c>
      <c r="D37" s="121" t="n">
        <f aca="false">D36*(1+$B$8/52)</f>
        <v>0</v>
      </c>
      <c r="E37" s="122" t="n">
        <f aca="false">C37*D37</f>
        <v>0</v>
      </c>
      <c r="F37" s="120" t="n">
        <f aca="false">F36+IF(UPPER($I$6)="ON",H36*$I$8/MAX($F$9,0.01),0)</f>
        <v>0</v>
      </c>
      <c r="G37" s="121" t="n">
        <f aca="false">G36*(1+$F$8/52)</f>
        <v>0</v>
      </c>
      <c r="H37" s="122" t="n">
        <f aca="false">F37*G37</f>
        <v>0</v>
      </c>
      <c r="I37" s="123" t="n">
        <f aca="false">E37+H37</f>
        <v>0</v>
      </c>
      <c r="J37" s="124" t="n">
        <f aca="false">(E37+H37)*4</f>
        <v>0</v>
      </c>
      <c r="K37" s="125" t="str">
        <f aca="false">IF(UPPER($I$6)="ON","✅ DRIP ON — compounding","💵 CASH — deploy to dips")</f>
        <v>✅ DRIP ON — compounding</v>
      </c>
      <c r="L37" s="106" t="n">
        <f aca="false">IF(UPPER($I$6)="ON",I37*$I$8,0)</f>
        <v>0</v>
      </c>
      <c r="M37" s="117" t="n">
        <f aca="false">IF(UPPER($I$6)="ON",I37*(1-$I$8),I37)</f>
        <v>0</v>
      </c>
    </row>
    <row r="38" customFormat="false" ht="15" hidden="false" customHeight="true" outlineLevel="0" collapsed="false">
      <c r="A38" s="126" t="s">
        <v>207</v>
      </c>
      <c r="B38" s="127" t="n">
        <f aca="false">DATE(2026,3,13)+7*(17-1)</f>
        <v>46206</v>
      </c>
      <c r="C38" s="128" t="n">
        <f aca="false">C37+IF(UPPER($I$6)="ON",E37*$I$8/MAX($B$9,0.01),0)</f>
        <v>0</v>
      </c>
      <c r="D38" s="129" t="n">
        <f aca="false">D37*(1+$B$8/52)</f>
        <v>0</v>
      </c>
      <c r="E38" s="130" t="n">
        <f aca="false">C38*D38</f>
        <v>0</v>
      </c>
      <c r="F38" s="128" t="n">
        <f aca="false">F37+IF(UPPER($I$6)="ON",H37*$I$8/MAX($F$9,0.01),0)</f>
        <v>0</v>
      </c>
      <c r="G38" s="129" t="n">
        <f aca="false">G37*(1+$F$8/52)</f>
        <v>0</v>
      </c>
      <c r="H38" s="130" t="n">
        <f aca="false">F38*G38</f>
        <v>0</v>
      </c>
      <c r="I38" s="131" t="n">
        <f aca="false">E38+H38</f>
        <v>0</v>
      </c>
      <c r="J38" s="132" t="n">
        <f aca="false">(E38+H38)*4</f>
        <v>0</v>
      </c>
      <c r="K38" s="133" t="str">
        <f aca="false">IF(UPPER($I$6)="ON","✅ DRIP ON — compounding","💵 CASH — deploy to dips")</f>
        <v>✅ DRIP ON — compounding</v>
      </c>
      <c r="L38" s="106" t="n">
        <f aca="false">IF(UPPER($I$6)="ON",I38*$I$8,0)</f>
        <v>0</v>
      </c>
      <c r="M38" s="117" t="n">
        <f aca="false">IF(UPPER($I$6)="ON",I38*(1-$I$8),I38)</f>
        <v>0</v>
      </c>
    </row>
    <row r="39" customFormat="false" ht="15" hidden="false" customHeight="true" outlineLevel="0" collapsed="false">
      <c r="A39" s="118" t="s">
        <v>208</v>
      </c>
      <c r="B39" s="119" t="n">
        <f aca="false">DATE(2026,3,13)+7*(18-1)</f>
        <v>46213</v>
      </c>
      <c r="C39" s="120" t="n">
        <f aca="false">C38+IF(UPPER($I$6)="ON",E38*$I$8/MAX($B$9,0.01),0)</f>
        <v>0</v>
      </c>
      <c r="D39" s="121" t="n">
        <f aca="false">D38*(1+$B$8/52)</f>
        <v>0</v>
      </c>
      <c r="E39" s="122" t="n">
        <f aca="false">C39*D39</f>
        <v>0</v>
      </c>
      <c r="F39" s="120" t="n">
        <f aca="false">F38+IF(UPPER($I$6)="ON",H38*$I$8/MAX($F$9,0.01),0)</f>
        <v>0</v>
      </c>
      <c r="G39" s="121" t="n">
        <f aca="false">G38*(1+$F$8/52)</f>
        <v>0</v>
      </c>
      <c r="H39" s="122" t="n">
        <f aca="false">F39*G39</f>
        <v>0</v>
      </c>
      <c r="I39" s="123" t="n">
        <f aca="false">E39+H39</f>
        <v>0</v>
      </c>
      <c r="J39" s="124" t="n">
        <f aca="false">(E39+H39)*4</f>
        <v>0</v>
      </c>
      <c r="K39" s="125" t="str">
        <f aca="false">IF(UPPER($I$6)="ON","✅ DRIP ON — compounding","💵 CASH — deploy to dips")</f>
        <v>✅ DRIP ON — compounding</v>
      </c>
      <c r="L39" s="106" t="n">
        <f aca="false">IF(UPPER($I$6)="ON",I39*$I$8,0)</f>
        <v>0</v>
      </c>
      <c r="M39" s="117" t="n">
        <f aca="false">IF(UPPER($I$6)="ON",I39*(1-$I$8),I39)</f>
        <v>0</v>
      </c>
    </row>
    <row r="40" customFormat="false" ht="15" hidden="false" customHeight="true" outlineLevel="0" collapsed="false">
      <c r="A40" s="126" t="s">
        <v>209</v>
      </c>
      <c r="B40" s="127" t="n">
        <f aca="false">DATE(2026,3,13)+7*(19-1)</f>
        <v>46220</v>
      </c>
      <c r="C40" s="128" t="n">
        <f aca="false">C39+IF(UPPER($I$6)="ON",E39*$I$8/MAX($B$9,0.01),0)</f>
        <v>0</v>
      </c>
      <c r="D40" s="129" t="n">
        <f aca="false">D39*(1+$B$8/52)</f>
        <v>0</v>
      </c>
      <c r="E40" s="130" t="n">
        <f aca="false">C40*D40</f>
        <v>0</v>
      </c>
      <c r="F40" s="128" t="n">
        <f aca="false">F39+IF(UPPER($I$6)="ON",H39*$I$8/MAX($F$9,0.01),0)</f>
        <v>0</v>
      </c>
      <c r="G40" s="129" t="n">
        <f aca="false">G39*(1+$F$8/52)</f>
        <v>0</v>
      </c>
      <c r="H40" s="130" t="n">
        <f aca="false">F40*G40</f>
        <v>0</v>
      </c>
      <c r="I40" s="131" t="n">
        <f aca="false">E40+H40</f>
        <v>0</v>
      </c>
      <c r="J40" s="132" t="n">
        <f aca="false">(E40+H40)*4</f>
        <v>0</v>
      </c>
      <c r="K40" s="133" t="str">
        <f aca="false">IF(UPPER($I$6)="ON","✅ DRIP ON — compounding","💵 CASH — deploy to dips")</f>
        <v>✅ DRIP ON — compounding</v>
      </c>
      <c r="L40" s="106" t="n">
        <f aca="false">IF(UPPER($I$6)="ON",I40*$I$8,0)</f>
        <v>0</v>
      </c>
      <c r="M40" s="117" t="n">
        <f aca="false">IF(UPPER($I$6)="ON",I40*(1-$I$8),I40)</f>
        <v>0</v>
      </c>
    </row>
    <row r="41" customFormat="false" ht="15" hidden="false" customHeight="true" outlineLevel="0" collapsed="false">
      <c r="A41" s="118" t="s">
        <v>210</v>
      </c>
      <c r="B41" s="119" t="n">
        <f aca="false">DATE(2026,3,13)+7*(20-1)</f>
        <v>46227</v>
      </c>
      <c r="C41" s="120" t="n">
        <f aca="false">C40+IF(UPPER($I$6)="ON",E40*$I$8/MAX($B$9,0.01),0)</f>
        <v>0</v>
      </c>
      <c r="D41" s="121" t="n">
        <f aca="false">D40*(1+$B$8/52)</f>
        <v>0</v>
      </c>
      <c r="E41" s="122" t="n">
        <f aca="false">C41*D41</f>
        <v>0</v>
      </c>
      <c r="F41" s="120" t="n">
        <f aca="false">F40+IF(UPPER($I$6)="ON",H40*$I$8/MAX($F$9,0.01),0)</f>
        <v>0</v>
      </c>
      <c r="G41" s="121" t="n">
        <f aca="false">G40*(1+$F$8/52)</f>
        <v>0</v>
      </c>
      <c r="H41" s="122" t="n">
        <f aca="false">F41*G41</f>
        <v>0</v>
      </c>
      <c r="I41" s="123" t="n">
        <f aca="false">E41+H41</f>
        <v>0</v>
      </c>
      <c r="J41" s="124" t="n">
        <f aca="false">(E41+H41)*4</f>
        <v>0</v>
      </c>
      <c r="K41" s="125" t="str">
        <f aca="false">IF(UPPER($I$6)="ON","✅ DRIP ON — compounding","💵 CASH — deploy to dips")</f>
        <v>✅ DRIP ON — compounding</v>
      </c>
      <c r="L41" s="106" t="n">
        <f aca="false">IF(UPPER($I$6)="ON",I41*$I$8,0)</f>
        <v>0</v>
      </c>
      <c r="M41" s="117" t="n">
        <f aca="false">IF(UPPER($I$6)="ON",I41*(1-$I$8),I41)</f>
        <v>0</v>
      </c>
    </row>
    <row r="42" customFormat="false" ht="15" hidden="false" customHeight="true" outlineLevel="0" collapsed="false">
      <c r="A42" s="126" t="s">
        <v>211</v>
      </c>
      <c r="B42" s="127" t="n">
        <f aca="false">DATE(2026,3,13)+7*(21-1)</f>
        <v>46234</v>
      </c>
      <c r="C42" s="128" t="n">
        <f aca="false">C41+IF(UPPER($I$6)="ON",E41*$I$8/MAX($B$9,0.01),0)</f>
        <v>0</v>
      </c>
      <c r="D42" s="129" t="n">
        <f aca="false">D41*(1+$B$8/52)</f>
        <v>0</v>
      </c>
      <c r="E42" s="130" t="n">
        <f aca="false">C42*D42</f>
        <v>0</v>
      </c>
      <c r="F42" s="128" t="n">
        <f aca="false">F41+IF(UPPER($I$6)="ON",H41*$I$8/MAX($F$9,0.01),0)</f>
        <v>0</v>
      </c>
      <c r="G42" s="129" t="n">
        <f aca="false">G41*(1+$F$8/52)</f>
        <v>0</v>
      </c>
      <c r="H42" s="130" t="n">
        <f aca="false">F42*G42</f>
        <v>0</v>
      </c>
      <c r="I42" s="131" t="n">
        <f aca="false">E42+H42</f>
        <v>0</v>
      </c>
      <c r="J42" s="132" t="n">
        <f aca="false">(E42+H42)*4</f>
        <v>0</v>
      </c>
      <c r="K42" s="133" t="str">
        <f aca="false">IF(UPPER($I$6)="ON","✅ DRIP ON — compounding","💵 CASH — deploy to dips")</f>
        <v>✅ DRIP ON — compounding</v>
      </c>
      <c r="L42" s="106" t="n">
        <f aca="false">IF(UPPER($I$6)="ON",I42*$I$8,0)</f>
        <v>0</v>
      </c>
      <c r="M42" s="117" t="n">
        <f aca="false">IF(UPPER($I$6)="ON",I42*(1-$I$8),I42)</f>
        <v>0</v>
      </c>
    </row>
    <row r="43" customFormat="false" ht="15" hidden="false" customHeight="true" outlineLevel="0" collapsed="false">
      <c r="A43" s="118" t="s">
        <v>212</v>
      </c>
      <c r="B43" s="119" t="n">
        <f aca="false">DATE(2026,3,13)+7*(22-1)</f>
        <v>46241</v>
      </c>
      <c r="C43" s="120" t="n">
        <f aca="false">C42+IF(UPPER($I$6)="ON",E42*$I$8/MAX($B$9,0.01),0)</f>
        <v>0</v>
      </c>
      <c r="D43" s="121" t="n">
        <f aca="false">D42*(1+$B$8/52)</f>
        <v>0</v>
      </c>
      <c r="E43" s="122" t="n">
        <f aca="false">C43*D43</f>
        <v>0</v>
      </c>
      <c r="F43" s="120" t="n">
        <f aca="false">F42+IF(UPPER($I$6)="ON",H42*$I$8/MAX($F$9,0.01),0)</f>
        <v>0</v>
      </c>
      <c r="G43" s="121" t="n">
        <f aca="false">G42*(1+$F$8/52)</f>
        <v>0</v>
      </c>
      <c r="H43" s="122" t="n">
        <f aca="false">F43*G43</f>
        <v>0</v>
      </c>
      <c r="I43" s="123" t="n">
        <f aca="false">E43+H43</f>
        <v>0</v>
      </c>
      <c r="J43" s="124" t="n">
        <f aca="false">(E43+H43)*4</f>
        <v>0</v>
      </c>
      <c r="K43" s="125" t="str">
        <f aca="false">IF(UPPER($I$6)="ON","✅ DRIP ON — compounding","💵 CASH — deploy to dips")</f>
        <v>✅ DRIP ON — compounding</v>
      </c>
      <c r="L43" s="106" t="n">
        <f aca="false">IF(UPPER($I$6)="ON",I43*$I$8,0)</f>
        <v>0</v>
      </c>
      <c r="M43" s="117" t="n">
        <f aca="false">IF(UPPER($I$6)="ON",I43*(1-$I$8),I43)</f>
        <v>0</v>
      </c>
    </row>
    <row r="44" customFormat="false" ht="15" hidden="false" customHeight="true" outlineLevel="0" collapsed="false">
      <c r="A44" s="126" t="s">
        <v>213</v>
      </c>
      <c r="B44" s="127" t="n">
        <f aca="false">DATE(2026,3,13)+7*(23-1)</f>
        <v>46248</v>
      </c>
      <c r="C44" s="128" t="n">
        <f aca="false">C43+IF(UPPER($I$6)="ON",E43*$I$8/MAX($B$9,0.01),0)</f>
        <v>0</v>
      </c>
      <c r="D44" s="129" t="n">
        <f aca="false">D43*(1+$B$8/52)</f>
        <v>0</v>
      </c>
      <c r="E44" s="130" t="n">
        <f aca="false">C44*D44</f>
        <v>0</v>
      </c>
      <c r="F44" s="128" t="n">
        <f aca="false">F43+IF(UPPER($I$6)="ON",H43*$I$8/MAX($F$9,0.01),0)</f>
        <v>0</v>
      </c>
      <c r="G44" s="129" t="n">
        <f aca="false">G43*(1+$F$8/52)</f>
        <v>0</v>
      </c>
      <c r="H44" s="130" t="n">
        <f aca="false">F44*G44</f>
        <v>0</v>
      </c>
      <c r="I44" s="131" t="n">
        <f aca="false">E44+H44</f>
        <v>0</v>
      </c>
      <c r="J44" s="132" t="n">
        <f aca="false">(E44+H44)*4</f>
        <v>0</v>
      </c>
      <c r="K44" s="133" t="str">
        <f aca="false">IF(UPPER($I$6)="ON","✅ DRIP ON — compounding","💵 CASH — deploy to dips")</f>
        <v>✅ DRIP ON — compounding</v>
      </c>
      <c r="L44" s="106" t="n">
        <f aca="false">IF(UPPER($I$6)="ON",I44*$I$8,0)</f>
        <v>0</v>
      </c>
      <c r="M44" s="117" t="n">
        <f aca="false">IF(UPPER($I$6)="ON",I44*(1-$I$8),I44)</f>
        <v>0</v>
      </c>
    </row>
    <row r="45" customFormat="false" ht="15" hidden="false" customHeight="true" outlineLevel="0" collapsed="false">
      <c r="A45" s="118" t="s">
        <v>214</v>
      </c>
      <c r="B45" s="119" t="n">
        <f aca="false">DATE(2026,3,13)+7*(24-1)</f>
        <v>46255</v>
      </c>
      <c r="C45" s="120" t="n">
        <f aca="false">C44+IF(UPPER($I$6)="ON",E44*$I$8/MAX($B$9,0.01),0)</f>
        <v>0</v>
      </c>
      <c r="D45" s="121" t="n">
        <f aca="false">D44*(1+$B$8/52)</f>
        <v>0</v>
      </c>
      <c r="E45" s="122" t="n">
        <f aca="false">C45*D45</f>
        <v>0</v>
      </c>
      <c r="F45" s="120" t="n">
        <f aca="false">F44+IF(UPPER($I$6)="ON",H44*$I$8/MAX($F$9,0.01),0)</f>
        <v>0</v>
      </c>
      <c r="G45" s="121" t="n">
        <f aca="false">G44*(1+$F$8/52)</f>
        <v>0</v>
      </c>
      <c r="H45" s="122" t="n">
        <f aca="false">F45*G45</f>
        <v>0</v>
      </c>
      <c r="I45" s="123" t="n">
        <f aca="false">E45+H45</f>
        <v>0</v>
      </c>
      <c r="J45" s="124" t="n">
        <f aca="false">(E45+H45)*4</f>
        <v>0</v>
      </c>
      <c r="K45" s="125" t="str">
        <f aca="false">IF(UPPER($I$6)="ON","✅ DRIP ON — compounding","💵 CASH — deploy to dips")</f>
        <v>✅ DRIP ON — compounding</v>
      </c>
      <c r="L45" s="106" t="n">
        <f aca="false">IF(UPPER($I$6)="ON",I45*$I$8,0)</f>
        <v>0</v>
      </c>
      <c r="M45" s="117" t="n">
        <f aca="false">IF(UPPER($I$6)="ON",I45*(1-$I$8),I45)</f>
        <v>0</v>
      </c>
    </row>
    <row r="46" customFormat="false" ht="15" hidden="false" customHeight="true" outlineLevel="0" collapsed="false">
      <c r="A46" s="126" t="s">
        <v>215</v>
      </c>
      <c r="B46" s="127" t="n">
        <f aca="false">DATE(2026,3,13)+7*(25-1)</f>
        <v>46262</v>
      </c>
      <c r="C46" s="128" t="n">
        <f aca="false">C45+IF(UPPER($I$6)="ON",E45*$I$8/MAX($B$9,0.01),0)</f>
        <v>0</v>
      </c>
      <c r="D46" s="129" t="n">
        <f aca="false">D45*(1+$B$8/52)</f>
        <v>0</v>
      </c>
      <c r="E46" s="130" t="n">
        <f aca="false">C46*D46</f>
        <v>0</v>
      </c>
      <c r="F46" s="128" t="n">
        <f aca="false">F45+IF(UPPER($I$6)="ON",H45*$I$8/MAX($F$9,0.01),0)</f>
        <v>0</v>
      </c>
      <c r="G46" s="129" t="n">
        <f aca="false">G45*(1+$F$8/52)</f>
        <v>0</v>
      </c>
      <c r="H46" s="130" t="n">
        <f aca="false">F46*G46</f>
        <v>0</v>
      </c>
      <c r="I46" s="131" t="n">
        <f aca="false">E46+H46</f>
        <v>0</v>
      </c>
      <c r="J46" s="132" t="n">
        <f aca="false">(E46+H46)*4</f>
        <v>0</v>
      </c>
      <c r="K46" s="133" t="str">
        <f aca="false">IF(UPPER($I$6)="ON","✅ DRIP ON — compounding","💵 CASH — deploy to dips")</f>
        <v>✅ DRIP ON — compounding</v>
      </c>
      <c r="L46" s="106" t="n">
        <f aca="false">IF(UPPER($I$6)="ON",I46*$I$8,0)</f>
        <v>0</v>
      </c>
      <c r="M46" s="117" t="n">
        <f aca="false">IF(UPPER($I$6)="ON",I46*(1-$I$8),I46)</f>
        <v>0</v>
      </c>
    </row>
    <row r="47" customFormat="false" ht="15" hidden="false" customHeight="true" outlineLevel="0" collapsed="false">
      <c r="A47" s="118" t="s">
        <v>216</v>
      </c>
      <c r="B47" s="119" t="n">
        <f aca="false">DATE(2026,3,13)+7*(26-1)</f>
        <v>46269</v>
      </c>
      <c r="C47" s="120" t="n">
        <f aca="false">C46+IF(UPPER($I$6)="ON",E46*$I$8/MAX($B$9,0.01),0)</f>
        <v>0</v>
      </c>
      <c r="D47" s="121" t="n">
        <f aca="false">D46*(1+$B$8/52)</f>
        <v>0</v>
      </c>
      <c r="E47" s="122" t="n">
        <f aca="false">C47*D47</f>
        <v>0</v>
      </c>
      <c r="F47" s="120" t="n">
        <f aca="false">F46+IF(UPPER($I$6)="ON",H46*$I$8/MAX($F$9,0.01),0)</f>
        <v>0</v>
      </c>
      <c r="G47" s="121" t="n">
        <f aca="false">G46*(1+$F$8/52)</f>
        <v>0</v>
      </c>
      <c r="H47" s="122" t="n">
        <f aca="false">F47*G47</f>
        <v>0</v>
      </c>
      <c r="I47" s="123" t="n">
        <f aca="false">E47+H47</f>
        <v>0</v>
      </c>
      <c r="J47" s="124" t="n">
        <f aca="false">(E47+H47)*4</f>
        <v>0</v>
      </c>
      <c r="K47" s="125" t="str">
        <f aca="false">IF(UPPER($I$6)="ON","✅ DRIP ON — compounding","💵 CASH — deploy to dips")</f>
        <v>✅ DRIP ON — compounding</v>
      </c>
      <c r="L47" s="106" t="n">
        <f aca="false">IF(UPPER($I$6)="ON",I47*$I$8,0)</f>
        <v>0</v>
      </c>
      <c r="M47" s="117" t="n">
        <f aca="false">IF(UPPER($I$6)="ON",I47*(1-$I$8),I47)</f>
        <v>0</v>
      </c>
    </row>
    <row r="48" customFormat="false" ht="15" hidden="false" customHeight="true" outlineLevel="0" collapsed="false">
      <c r="A48" s="126" t="s">
        <v>217</v>
      </c>
      <c r="B48" s="127" t="n">
        <f aca="false">DATE(2026,3,13)+7*(27-1)</f>
        <v>46276</v>
      </c>
      <c r="C48" s="128" t="n">
        <f aca="false">C47+IF(UPPER($I$6)="ON",E47*$I$8/MAX($B$9,0.01),0)</f>
        <v>0</v>
      </c>
      <c r="D48" s="129" t="n">
        <f aca="false">D47*(1+$B$8/52)</f>
        <v>0</v>
      </c>
      <c r="E48" s="130" t="n">
        <f aca="false">C48*D48</f>
        <v>0</v>
      </c>
      <c r="F48" s="128" t="n">
        <f aca="false">F47+IF(UPPER($I$6)="ON",H47*$I$8/MAX($F$9,0.01),0)</f>
        <v>0</v>
      </c>
      <c r="G48" s="129" t="n">
        <f aca="false">G47*(1+$F$8/52)</f>
        <v>0</v>
      </c>
      <c r="H48" s="130" t="n">
        <f aca="false">F48*G48</f>
        <v>0</v>
      </c>
      <c r="I48" s="131" t="n">
        <f aca="false">E48+H48</f>
        <v>0</v>
      </c>
      <c r="J48" s="132" t="n">
        <f aca="false">(E48+H48)*4</f>
        <v>0</v>
      </c>
      <c r="K48" s="133" t="str">
        <f aca="false">IF(UPPER($I$6)="ON","✅ DRIP ON — compounding","💵 CASH — deploy to dips")</f>
        <v>✅ DRIP ON — compounding</v>
      </c>
      <c r="L48" s="106" t="n">
        <f aca="false">IF(UPPER($I$6)="ON",I48*$I$8,0)</f>
        <v>0</v>
      </c>
      <c r="M48" s="117" t="n">
        <f aca="false">IF(UPPER($I$6)="ON",I48*(1-$I$8),I48)</f>
        <v>0</v>
      </c>
    </row>
    <row r="49" customFormat="false" ht="15" hidden="false" customHeight="true" outlineLevel="0" collapsed="false">
      <c r="A49" s="118" t="s">
        <v>218</v>
      </c>
      <c r="B49" s="119" t="n">
        <f aca="false">DATE(2026,3,13)+7*(28-1)</f>
        <v>46283</v>
      </c>
      <c r="C49" s="120" t="n">
        <f aca="false">C48+IF(UPPER($I$6)="ON",E48*$I$8/MAX($B$9,0.01),0)</f>
        <v>0</v>
      </c>
      <c r="D49" s="121" t="n">
        <f aca="false">D48*(1+$B$8/52)</f>
        <v>0</v>
      </c>
      <c r="E49" s="122" t="n">
        <f aca="false">C49*D49</f>
        <v>0</v>
      </c>
      <c r="F49" s="120" t="n">
        <f aca="false">F48+IF(UPPER($I$6)="ON",H48*$I$8/MAX($F$9,0.01),0)</f>
        <v>0</v>
      </c>
      <c r="G49" s="121" t="n">
        <f aca="false">G48*(1+$F$8/52)</f>
        <v>0</v>
      </c>
      <c r="H49" s="122" t="n">
        <f aca="false">F49*G49</f>
        <v>0</v>
      </c>
      <c r="I49" s="123" t="n">
        <f aca="false">E49+H49</f>
        <v>0</v>
      </c>
      <c r="J49" s="124" t="n">
        <f aca="false">(E49+H49)*4</f>
        <v>0</v>
      </c>
      <c r="K49" s="125" t="str">
        <f aca="false">IF(UPPER($I$6)="ON","✅ DRIP ON — compounding","💵 CASH — deploy to dips")</f>
        <v>✅ DRIP ON — compounding</v>
      </c>
      <c r="L49" s="106" t="n">
        <f aca="false">IF(UPPER($I$6)="ON",I49*$I$8,0)</f>
        <v>0</v>
      </c>
      <c r="M49" s="117" t="n">
        <f aca="false">IF(UPPER($I$6)="ON",I49*(1-$I$8),I49)</f>
        <v>0</v>
      </c>
    </row>
    <row r="50" customFormat="false" ht="15" hidden="false" customHeight="true" outlineLevel="0" collapsed="false">
      <c r="A50" s="126" t="s">
        <v>219</v>
      </c>
      <c r="B50" s="127" t="n">
        <f aca="false">DATE(2026,3,13)+7*(29-1)</f>
        <v>46290</v>
      </c>
      <c r="C50" s="128" t="n">
        <f aca="false">C49+IF(UPPER($I$6)="ON",E49*$I$8/MAX($B$9,0.01),0)</f>
        <v>0</v>
      </c>
      <c r="D50" s="129" t="n">
        <f aca="false">D49*(1+$B$8/52)</f>
        <v>0</v>
      </c>
      <c r="E50" s="130" t="n">
        <f aca="false">C50*D50</f>
        <v>0</v>
      </c>
      <c r="F50" s="128" t="n">
        <f aca="false">F49+IF(UPPER($I$6)="ON",H49*$I$8/MAX($F$9,0.01),0)</f>
        <v>0</v>
      </c>
      <c r="G50" s="129" t="n">
        <f aca="false">G49*(1+$F$8/52)</f>
        <v>0</v>
      </c>
      <c r="H50" s="130" t="n">
        <f aca="false">F50*G50</f>
        <v>0</v>
      </c>
      <c r="I50" s="131" t="n">
        <f aca="false">E50+H50</f>
        <v>0</v>
      </c>
      <c r="J50" s="132" t="n">
        <f aca="false">(E50+H50)*4</f>
        <v>0</v>
      </c>
      <c r="K50" s="133" t="str">
        <f aca="false">IF(UPPER($I$6)="ON","✅ DRIP ON — compounding","💵 CASH — deploy to dips")</f>
        <v>✅ DRIP ON — compounding</v>
      </c>
      <c r="L50" s="106" t="n">
        <f aca="false">IF(UPPER($I$6)="ON",I50*$I$8,0)</f>
        <v>0</v>
      </c>
      <c r="M50" s="117" t="n">
        <f aca="false">IF(UPPER($I$6)="ON",I50*(1-$I$8),I50)</f>
        <v>0</v>
      </c>
    </row>
    <row r="51" customFormat="false" ht="15" hidden="false" customHeight="true" outlineLevel="0" collapsed="false">
      <c r="A51" s="118" t="s">
        <v>220</v>
      </c>
      <c r="B51" s="119" t="n">
        <f aca="false">DATE(2026,3,13)+7*(30-1)</f>
        <v>46297</v>
      </c>
      <c r="C51" s="120" t="n">
        <f aca="false">C50+IF(UPPER($I$6)="ON",E50*$I$8/MAX($B$9,0.01),0)</f>
        <v>0</v>
      </c>
      <c r="D51" s="121" t="n">
        <f aca="false">D50*(1+$B$8/52)</f>
        <v>0</v>
      </c>
      <c r="E51" s="122" t="n">
        <f aca="false">C51*D51</f>
        <v>0</v>
      </c>
      <c r="F51" s="120" t="n">
        <f aca="false">F50+IF(UPPER($I$6)="ON",H50*$I$8/MAX($F$9,0.01),0)</f>
        <v>0</v>
      </c>
      <c r="G51" s="121" t="n">
        <f aca="false">G50*(1+$F$8/52)</f>
        <v>0</v>
      </c>
      <c r="H51" s="122" t="n">
        <f aca="false">F51*G51</f>
        <v>0</v>
      </c>
      <c r="I51" s="123" t="n">
        <f aca="false">E51+H51</f>
        <v>0</v>
      </c>
      <c r="J51" s="124" t="n">
        <f aca="false">(E51+H51)*4</f>
        <v>0</v>
      </c>
      <c r="K51" s="125" t="str">
        <f aca="false">IF(UPPER($I$6)="ON","✅ DRIP ON — compounding","💵 CASH — deploy to dips")</f>
        <v>✅ DRIP ON — compounding</v>
      </c>
      <c r="L51" s="106" t="n">
        <f aca="false">IF(UPPER($I$6)="ON",I51*$I$8,0)</f>
        <v>0</v>
      </c>
      <c r="M51" s="117" t="n">
        <f aca="false">IF(UPPER($I$6)="ON",I51*(1-$I$8),I51)</f>
        <v>0</v>
      </c>
    </row>
    <row r="52" customFormat="false" ht="15" hidden="false" customHeight="true" outlineLevel="0" collapsed="false">
      <c r="A52" s="126" t="s">
        <v>221</v>
      </c>
      <c r="B52" s="127" t="n">
        <f aca="false">DATE(2026,3,13)+7*(31-1)</f>
        <v>46304</v>
      </c>
      <c r="C52" s="128" t="n">
        <f aca="false">C51+IF(UPPER($I$6)="ON",E51*$I$8/MAX($B$9,0.01),0)</f>
        <v>0</v>
      </c>
      <c r="D52" s="129" t="n">
        <f aca="false">D51*(1+$B$8/52)</f>
        <v>0</v>
      </c>
      <c r="E52" s="130" t="n">
        <f aca="false">C52*D52</f>
        <v>0</v>
      </c>
      <c r="F52" s="128" t="n">
        <f aca="false">F51+IF(UPPER($I$6)="ON",H51*$I$8/MAX($F$9,0.01),0)</f>
        <v>0</v>
      </c>
      <c r="G52" s="129" t="n">
        <f aca="false">G51*(1+$F$8/52)</f>
        <v>0</v>
      </c>
      <c r="H52" s="130" t="n">
        <f aca="false">F52*G52</f>
        <v>0</v>
      </c>
      <c r="I52" s="131" t="n">
        <f aca="false">E52+H52</f>
        <v>0</v>
      </c>
      <c r="J52" s="132" t="n">
        <f aca="false">(E52+H52)*4</f>
        <v>0</v>
      </c>
      <c r="K52" s="133" t="str">
        <f aca="false">IF(UPPER($I$6)="ON","✅ DRIP ON — compounding","💵 CASH — deploy to dips")</f>
        <v>✅ DRIP ON — compounding</v>
      </c>
      <c r="L52" s="106" t="n">
        <f aca="false">IF(UPPER($I$6)="ON",I52*$I$8,0)</f>
        <v>0</v>
      </c>
      <c r="M52" s="117" t="n">
        <f aca="false">IF(UPPER($I$6)="ON",I52*(1-$I$8),I52)</f>
        <v>0</v>
      </c>
    </row>
    <row r="53" customFormat="false" ht="15" hidden="false" customHeight="true" outlineLevel="0" collapsed="false">
      <c r="A53" s="118" t="s">
        <v>222</v>
      </c>
      <c r="B53" s="119" t="n">
        <f aca="false">DATE(2026,3,13)+7*(32-1)</f>
        <v>46311</v>
      </c>
      <c r="C53" s="120" t="n">
        <f aca="false">C52+IF(UPPER($I$6)="ON",E52*$I$8/MAX($B$9,0.01),0)</f>
        <v>0</v>
      </c>
      <c r="D53" s="121" t="n">
        <f aca="false">D52*(1+$B$8/52)</f>
        <v>0</v>
      </c>
      <c r="E53" s="122" t="n">
        <f aca="false">C53*D53</f>
        <v>0</v>
      </c>
      <c r="F53" s="120" t="n">
        <f aca="false">F52+IF(UPPER($I$6)="ON",H52*$I$8/MAX($F$9,0.01),0)</f>
        <v>0</v>
      </c>
      <c r="G53" s="121" t="n">
        <f aca="false">G52*(1+$F$8/52)</f>
        <v>0</v>
      </c>
      <c r="H53" s="122" t="n">
        <f aca="false">F53*G53</f>
        <v>0</v>
      </c>
      <c r="I53" s="123" t="n">
        <f aca="false">E53+H53</f>
        <v>0</v>
      </c>
      <c r="J53" s="124" t="n">
        <f aca="false">(E53+H53)*4</f>
        <v>0</v>
      </c>
      <c r="K53" s="125" t="str">
        <f aca="false">IF(UPPER($I$6)="ON","✅ DRIP ON — compounding","💵 CASH — deploy to dips")</f>
        <v>✅ DRIP ON — compounding</v>
      </c>
      <c r="L53" s="106" t="n">
        <f aca="false">IF(UPPER($I$6)="ON",I53*$I$8,0)</f>
        <v>0</v>
      </c>
      <c r="M53" s="117" t="n">
        <f aca="false">IF(UPPER($I$6)="ON",I53*(1-$I$8),I53)</f>
        <v>0</v>
      </c>
    </row>
    <row r="54" customFormat="false" ht="15" hidden="false" customHeight="true" outlineLevel="0" collapsed="false">
      <c r="A54" s="126" t="s">
        <v>223</v>
      </c>
      <c r="B54" s="127" t="n">
        <f aca="false">DATE(2026,3,13)+7*(33-1)</f>
        <v>46318</v>
      </c>
      <c r="C54" s="128" t="n">
        <f aca="false">C53+IF(UPPER($I$6)="ON",E53*$I$8/MAX($B$9,0.01),0)</f>
        <v>0</v>
      </c>
      <c r="D54" s="129" t="n">
        <f aca="false">D53*(1+$B$8/52)</f>
        <v>0</v>
      </c>
      <c r="E54" s="130" t="n">
        <f aca="false">C54*D54</f>
        <v>0</v>
      </c>
      <c r="F54" s="128" t="n">
        <f aca="false">F53+IF(UPPER($I$6)="ON",H53*$I$8/MAX($F$9,0.01),0)</f>
        <v>0</v>
      </c>
      <c r="G54" s="129" t="n">
        <f aca="false">G53*(1+$F$8/52)</f>
        <v>0</v>
      </c>
      <c r="H54" s="130" t="n">
        <f aca="false">F54*G54</f>
        <v>0</v>
      </c>
      <c r="I54" s="131" t="n">
        <f aca="false">E54+H54</f>
        <v>0</v>
      </c>
      <c r="J54" s="132" t="n">
        <f aca="false">(E54+H54)*4</f>
        <v>0</v>
      </c>
      <c r="K54" s="133" t="str">
        <f aca="false">IF(UPPER($I$6)="ON","✅ DRIP ON — compounding","💵 CASH — deploy to dips")</f>
        <v>✅ DRIP ON — compounding</v>
      </c>
      <c r="L54" s="106" t="n">
        <f aca="false">IF(UPPER($I$6)="ON",I54*$I$8,0)</f>
        <v>0</v>
      </c>
      <c r="M54" s="117" t="n">
        <f aca="false">IF(UPPER($I$6)="ON",I54*(1-$I$8),I54)</f>
        <v>0</v>
      </c>
    </row>
    <row r="55" customFormat="false" ht="15" hidden="false" customHeight="true" outlineLevel="0" collapsed="false">
      <c r="A55" s="118" t="s">
        <v>224</v>
      </c>
      <c r="B55" s="119" t="n">
        <f aca="false">DATE(2026,3,13)+7*(34-1)</f>
        <v>46325</v>
      </c>
      <c r="C55" s="120" t="n">
        <f aca="false">C54+IF(UPPER($I$6)="ON",E54*$I$8/MAX($B$9,0.01),0)</f>
        <v>0</v>
      </c>
      <c r="D55" s="121" t="n">
        <f aca="false">D54*(1+$B$8/52)</f>
        <v>0</v>
      </c>
      <c r="E55" s="122" t="n">
        <f aca="false">C55*D55</f>
        <v>0</v>
      </c>
      <c r="F55" s="120" t="n">
        <f aca="false">F54+IF(UPPER($I$6)="ON",H54*$I$8/MAX($F$9,0.01),0)</f>
        <v>0</v>
      </c>
      <c r="G55" s="121" t="n">
        <f aca="false">G54*(1+$F$8/52)</f>
        <v>0</v>
      </c>
      <c r="H55" s="122" t="n">
        <f aca="false">F55*G55</f>
        <v>0</v>
      </c>
      <c r="I55" s="123" t="n">
        <f aca="false">E55+H55</f>
        <v>0</v>
      </c>
      <c r="J55" s="124" t="n">
        <f aca="false">(E55+H55)*4</f>
        <v>0</v>
      </c>
      <c r="K55" s="125" t="str">
        <f aca="false">IF(UPPER($I$6)="ON","✅ DRIP ON — compounding","💵 CASH — deploy to dips")</f>
        <v>✅ DRIP ON — compounding</v>
      </c>
      <c r="L55" s="106" t="n">
        <f aca="false">IF(UPPER($I$6)="ON",I55*$I$8,0)</f>
        <v>0</v>
      </c>
      <c r="M55" s="117" t="n">
        <f aca="false">IF(UPPER($I$6)="ON",I55*(1-$I$8),I55)</f>
        <v>0</v>
      </c>
    </row>
    <row r="56" customFormat="false" ht="15" hidden="false" customHeight="true" outlineLevel="0" collapsed="false">
      <c r="A56" s="126" t="s">
        <v>225</v>
      </c>
      <c r="B56" s="127" t="n">
        <f aca="false">DATE(2026,3,13)+7*(35-1)</f>
        <v>46332</v>
      </c>
      <c r="C56" s="128" t="n">
        <f aca="false">C55+IF(UPPER($I$6)="ON",E55*$I$8/MAX($B$9,0.01),0)</f>
        <v>0</v>
      </c>
      <c r="D56" s="129" t="n">
        <f aca="false">D55*(1+$B$8/52)</f>
        <v>0</v>
      </c>
      <c r="E56" s="130" t="n">
        <f aca="false">C56*D56</f>
        <v>0</v>
      </c>
      <c r="F56" s="128" t="n">
        <f aca="false">F55+IF(UPPER($I$6)="ON",H55*$I$8/MAX($F$9,0.01),0)</f>
        <v>0</v>
      </c>
      <c r="G56" s="129" t="n">
        <f aca="false">G55*(1+$F$8/52)</f>
        <v>0</v>
      </c>
      <c r="H56" s="130" t="n">
        <f aca="false">F56*G56</f>
        <v>0</v>
      </c>
      <c r="I56" s="131" t="n">
        <f aca="false">E56+H56</f>
        <v>0</v>
      </c>
      <c r="J56" s="132" t="n">
        <f aca="false">(E56+H56)*4</f>
        <v>0</v>
      </c>
      <c r="K56" s="133" t="str">
        <f aca="false">IF(UPPER($I$6)="ON","✅ DRIP ON — compounding","💵 CASH — deploy to dips")</f>
        <v>✅ DRIP ON — compounding</v>
      </c>
      <c r="L56" s="106" t="n">
        <f aca="false">IF(UPPER($I$6)="ON",I56*$I$8,0)</f>
        <v>0</v>
      </c>
      <c r="M56" s="117" t="n">
        <f aca="false">IF(UPPER($I$6)="ON",I56*(1-$I$8),I56)</f>
        <v>0</v>
      </c>
    </row>
    <row r="57" customFormat="false" ht="15" hidden="false" customHeight="true" outlineLevel="0" collapsed="false">
      <c r="A57" s="118" t="s">
        <v>226</v>
      </c>
      <c r="B57" s="119" t="n">
        <f aca="false">DATE(2026,3,13)+7*(36-1)</f>
        <v>46339</v>
      </c>
      <c r="C57" s="120" t="n">
        <f aca="false">C56+IF(UPPER($I$6)="ON",E56*$I$8/MAX($B$9,0.01),0)</f>
        <v>0</v>
      </c>
      <c r="D57" s="121" t="n">
        <f aca="false">D56*(1+$B$8/52)</f>
        <v>0</v>
      </c>
      <c r="E57" s="122" t="n">
        <f aca="false">C57*D57</f>
        <v>0</v>
      </c>
      <c r="F57" s="120" t="n">
        <f aca="false">F56+IF(UPPER($I$6)="ON",H56*$I$8/MAX($F$9,0.01),0)</f>
        <v>0</v>
      </c>
      <c r="G57" s="121" t="n">
        <f aca="false">G56*(1+$F$8/52)</f>
        <v>0</v>
      </c>
      <c r="H57" s="122" t="n">
        <f aca="false">F57*G57</f>
        <v>0</v>
      </c>
      <c r="I57" s="123" t="n">
        <f aca="false">E57+H57</f>
        <v>0</v>
      </c>
      <c r="J57" s="124" t="n">
        <f aca="false">(E57+H57)*4</f>
        <v>0</v>
      </c>
      <c r="K57" s="125" t="str">
        <f aca="false">IF(UPPER($I$6)="ON","✅ DRIP ON — compounding","💵 CASH — deploy to dips")</f>
        <v>✅ DRIP ON — compounding</v>
      </c>
      <c r="L57" s="106" t="n">
        <f aca="false">IF(UPPER($I$6)="ON",I57*$I$8,0)</f>
        <v>0</v>
      </c>
      <c r="M57" s="117" t="n">
        <f aca="false">IF(UPPER($I$6)="ON",I57*(1-$I$8),I57)</f>
        <v>0</v>
      </c>
    </row>
    <row r="58" customFormat="false" ht="15" hidden="false" customHeight="true" outlineLevel="0" collapsed="false">
      <c r="A58" s="126" t="s">
        <v>227</v>
      </c>
      <c r="B58" s="127" t="n">
        <f aca="false">DATE(2026,3,13)+7*(37-1)</f>
        <v>46346</v>
      </c>
      <c r="C58" s="128" t="n">
        <f aca="false">C57+IF(UPPER($I$6)="ON",E57*$I$8/MAX($B$9,0.01),0)</f>
        <v>0</v>
      </c>
      <c r="D58" s="129" t="n">
        <f aca="false">D57*(1+$B$8/52)</f>
        <v>0</v>
      </c>
      <c r="E58" s="130" t="n">
        <f aca="false">C58*D58</f>
        <v>0</v>
      </c>
      <c r="F58" s="128" t="n">
        <f aca="false">F57+IF(UPPER($I$6)="ON",H57*$I$8/MAX($F$9,0.01),0)</f>
        <v>0</v>
      </c>
      <c r="G58" s="129" t="n">
        <f aca="false">G57*(1+$F$8/52)</f>
        <v>0</v>
      </c>
      <c r="H58" s="130" t="n">
        <f aca="false">F58*G58</f>
        <v>0</v>
      </c>
      <c r="I58" s="131" t="n">
        <f aca="false">E58+H58</f>
        <v>0</v>
      </c>
      <c r="J58" s="132" t="n">
        <f aca="false">(E58+H58)*4</f>
        <v>0</v>
      </c>
      <c r="K58" s="133" t="str">
        <f aca="false">IF(UPPER($I$6)="ON","✅ DRIP ON — compounding","💵 CASH — deploy to dips")</f>
        <v>✅ DRIP ON — compounding</v>
      </c>
      <c r="L58" s="106" t="n">
        <f aca="false">IF(UPPER($I$6)="ON",I58*$I$8,0)</f>
        <v>0</v>
      </c>
      <c r="M58" s="117" t="n">
        <f aca="false">IF(UPPER($I$6)="ON",I58*(1-$I$8),I58)</f>
        <v>0</v>
      </c>
    </row>
    <row r="59" customFormat="false" ht="15" hidden="false" customHeight="true" outlineLevel="0" collapsed="false">
      <c r="A59" s="118" t="s">
        <v>228</v>
      </c>
      <c r="B59" s="119" t="n">
        <f aca="false">DATE(2026,3,13)+7*(38-1)</f>
        <v>46353</v>
      </c>
      <c r="C59" s="120" t="n">
        <f aca="false">C58+IF(UPPER($I$6)="ON",E58*$I$8/MAX($B$9,0.01),0)</f>
        <v>0</v>
      </c>
      <c r="D59" s="121" t="n">
        <f aca="false">D58*(1+$B$8/52)</f>
        <v>0</v>
      </c>
      <c r="E59" s="122" t="n">
        <f aca="false">C59*D59</f>
        <v>0</v>
      </c>
      <c r="F59" s="120" t="n">
        <f aca="false">F58+IF(UPPER($I$6)="ON",H58*$I$8/MAX($F$9,0.01),0)</f>
        <v>0</v>
      </c>
      <c r="G59" s="121" t="n">
        <f aca="false">G58*(1+$F$8/52)</f>
        <v>0</v>
      </c>
      <c r="H59" s="122" t="n">
        <f aca="false">F59*G59</f>
        <v>0</v>
      </c>
      <c r="I59" s="123" t="n">
        <f aca="false">E59+H59</f>
        <v>0</v>
      </c>
      <c r="J59" s="124" t="n">
        <f aca="false">(E59+H59)*4</f>
        <v>0</v>
      </c>
      <c r="K59" s="125" t="str">
        <f aca="false">IF(UPPER($I$6)="ON","✅ DRIP ON — compounding","💵 CASH — deploy to dips")</f>
        <v>✅ DRIP ON — compounding</v>
      </c>
      <c r="L59" s="106" t="n">
        <f aca="false">IF(UPPER($I$6)="ON",I59*$I$8,0)</f>
        <v>0</v>
      </c>
      <c r="M59" s="117" t="n">
        <f aca="false">IF(UPPER($I$6)="ON",I59*(1-$I$8),I59)</f>
        <v>0</v>
      </c>
    </row>
    <row r="60" customFormat="false" ht="15" hidden="false" customHeight="true" outlineLevel="0" collapsed="false">
      <c r="A60" s="126" t="s">
        <v>229</v>
      </c>
      <c r="B60" s="127" t="n">
        <f aca="false">DATE(2026,3,13)+7*(39-1)</f>
        <v>46360</v>
      </c>
      <c r="C60" s="128" t="n">
        <f aca="false">C59+IF(UPPER($I$6)="ON",E59*$I$8/MAX($B$9,0.01),0)</f>
        <v>0</v>
      </c>
      <c r="D60" s="129" t="n">
        <f aca="false">D59*(1+$B$8/52)</f>
        <v>0</v>
      </c>
      <c r="E60" s="130" t="n">
        <f aca="false">C60*D60</f>
        <v>0</v>
      </c>
      <c r="F60" s="128" t="n">
        <f aca="false">F59+IF(UPPER($I$6)="ON",H59*$I$8/MAX($F$9,0.01),0)</f>
        <v>0</v>
      </c>
      <c r="G60" s="129" t="n">
        <f aca="false">G59*(1+$F$8/52)</f>
        <v>0</v>
      </c>
      <c r="H60" s="130" t="n">
        <f aca="false">F60*G60</f>
        <v>0</v>
      </c>
      <c r="I60" s="131" t="n">
        <f aca="false">E60+H60</f>
        <v>0</v>
      </c>
      <c r="J60" s="132" t="n">
        <f aca="false">(E60+H60)*4</f>
        <v>0</v>
      </c>
      <c r="K60" s="133" t="str">
        <f aca="false">IF(UPPER($I$6)="ON","✅ DRIP ON — compounding","💵 CASH — deploy to dips")</f>
        <v>✅ DRIP ON — compounding</v>
      </c>
      <c r="L60" s="106" t="n">
        <f aca="false">IF(UPPER($I$6)="ON",I60*$I$8,0)</f>
        <v>0</v>
      </c>
      <c r="M60" s="117" t="n">
        <f aca="false">IF(UPPER($I$6)="ON",I60*(1-$I$8),I60)</f>
        <v>0</v>
      </c>
    </row>
    <row r="61" customFormat="false" ht="15" hidden="false" customHeight="true" outlineLevel="0" collapsed="false">
      <c r="A61" s="118" t="s">
        <v>230</v>
      </c>
      <c r="B61" s="119" t="n">
        <f aca="false">DATE(2026,3,13)+7*(40-1)</f>
        <v>46367</v>
      </c>
      <c r="C61" s="120" t="n">
        <f aca="false">C60+IF(UPPER($I$6)="ON",E60*$I$8/MAX($B$9,0.01),0)</f>
        <v>0</v>
      </c>
      <c r="D61" s="121" t="n">
        <f aca="false">D60*(1+$B$8/52)</f>
        <v>0</v>
      </c>
      <c r="E61" s="122" t="n">
        <f aca="false">C61*D61</f>
        <v>0</v>
      </c>
      <c r="F61" s="120" t="n">
        <f aca="false">F60+IF(UPPER($I$6)="ON",H60*$I$8/MAX($F$9,0.01),0)</f>
        <v>0</v>
      </c>
      <c r="G61" s="121" t="n">
        <f aca="false">G60*(1+$F$8/52)</f>
        <v>0</v>
      </c>
      <c r="H61" s="122" t="n">
        <f aca="false">F61*G61</f>
        <v>0</v>
      </c>
      <c r="I61" s="123" t="n">
        <f aca="false">E61+H61</f>
        <v>0</v>
      </c>
      <c r="J61" s="124" t="n">
        <f aca="false">(E61+H61)*4</f>
        <v>0</v>
      </c>
      <c r="K61" s="125" t="str">
        <f aca="false">IF(UPPER($I$6)="ON","✅ DRIP ON — compounding","💵 CASH — deploy to dips")</f>
        <v>✅ DRIP ON — compounding</v>
      </c>
      <c r="L61" s="106" t="n">
        <f aca="false">IF(UPPER($I$6)="ON",I61*$I$8,0)</f>
        <v>0</v>
      </c>
      <c r="M61" s="117" t="n">
        <f aca="false">IF(UPPER($I$6)="ON",I61*(1-$I$8),I61)</f>
        <v>0</v>
      </c>
    </row>
    <row r="62" customFormat="false" ht="15" hidden="false" customHeight="true" outlineLevel="0" collapsed="false">
      <c r="A62" s="126" t="s">
        <v>231</v>
      </c>
      <c r="B62" s="127" t="n">
        <f aca="false">DATE(2026,3,13)+7*(41-1)</f>
        <v>46374</v>
      </c>
      <c r="C62" s="128" t="n">
        <f aca="false">C61+IF(UPPER($I$6)="ON",E61*$I$8/MAX($B$9,0.01),0)</f>
        <v>0</v>
      </c>
      <c r="D62" s="129" t="n">
        <f aca="false">D61*(1+$B$8/52)</f>
        <v>0</v>
      </c>
      <c r="E62" s="130" t="n">
        <f aca="false">C62*D62</f>
        <v>0</v>
      </c>
      <c r="F62" s="128" t="n">
        <f aca="false">F61+IF(UPPER($I$6)="ON",H61*$I$8/MAX($F$9,0.01),0)</f>
        <v>0</v>
      </c>
      <c r="G62" s="129" t="n">
        <f aca="false">G61*(1+$F$8/52)</f>
        <v>0</v>
      </c>
      <c r="H62" s="130" t="n">
        <f aca="false">F62*G62</f>
        <v>0</v>
      </c>
      <c r="I62" s="131" t="n">
        <f aca="false">E62+H62</f>
        <v>0</v>
      </c>
      <c r="J62" s="132" t="n">
        <f aca="false">(E62+H62)*4</f>
        <v>0</v>
      </c>
      <c r="K62" s="133" t="str">
        <f aca="false">IF(UPPER($I$6)="ON","✅ DRIP ON — compounding","💵 CASH — deploy to dips")</f>
        <v>✅ DRIP ON — compounding</v>
      </c>
      <c r="L62" s="106" t="n">
        <f aca="false">IF(UPPER($I$6)="ON",I62*$I$8,0)</f>
        <v>0</v>
      </c>
      <c r="M62" s="117" t="n">
        <f aca="false">IF(UPPER($I$6)="ON",I62*(1-$I$8),I62)</f>
        <v>0</v>
      </c>
    </row>
    <row r="63" customFormat="false" ht="15" hidden="false" customHeight="true" outlineLevel="0" collapsed="false">
      <c r="A63" s="118" t="s">
        <v>232</v>
      </c>
      <c r="B63" s="119" t="n">
        <f aca="false">DATE(2026,3,13)+7*(42-1)</f>
        <v>46381</v>
      </c>
      <c r="C63" s="120" t="n">
        <f aca="false">C62+IF(UPPER($I$6)="ON",E62*$I$8/MAX($B$9,0.01),0)</f>
        <v>0</v>
      </c>
      <c r="D63" s="121" t="n">
        <f aca="false">D62*(1+$B$8/52)</f>
        <v>0</v>
      </c>
      <c r="E63" s="122" t="n">
        <f aca="false">C63*D63</f>
        <v>0</v>
      </c>
      <c r="F63" s="120" t="n">
        <f aca="false">F62+IF(UPPER($I$6)="ON",H62*$I$8/MAX($F$9,0.01),0)</f>
        <v>0</v>
      </c>
      <c r="G63" s="121" t="n">
        <f aca="false">G62*(1+$F$8/52)</f>
        <v>0</v>
      </c>
      <c r="H63" s="122" t="n">
        <f aca="false">F63*G63</f>
        <v>0</v>
      </c>
      <c r="I63" s="123" t="n">
        <f aca="false">E63+H63</f>
        <v>0</v>
      </c>
      <c r="J63" s="124" t="n">
        <f aca="false">(E63+H63)*4</f>
        <v>0</v>
      </c>
      <c r="K63" s="125" t="str">
        <f aca="false">IF(UPPER($I$6)="ON","✅ DRIP ON — compounding","💵 CASH — deploy to dips")</f>
        <v>✅ DRIP ON — compounding</v>
      </c>
      <c r="L63" s="106" t="n">
        <f aca="false">IF(UPPER($I$6)="ON",I63*$I$8,0)</f>
        <v>0</v>
      </c>
      <c r="M63" s="117" t="n">
        <f aca="false">IF(UPPER($I$6)="ON",I63*(1-$I$8),I63)</f>
        <v>0</v>
      </c>
    </row>
    <row r="64" customFormat="false" ht="15" hidden="false" customHeight="true" outlineLevel="0" collapsed="false">
      <c r="A64" s="126" t="s">
        <v>233</v>
      </c>
      <c r="B64" s="127" t="n">
        <f aca="false">DATE(2026,3,13)+7*(43-1)</f>
        <v>46388</v>
      </c>
      <c r="C64" s="128" t="n">
        <f aca="false">C63+IF(UPPER($I$6)="ON",E63*$I$8/MAX($B$9,0.01),0)</f>
        <v>0</v>
      </c>
      <c r="D64" s="129" t="n">
        <f aca="false">D63*(1+$B$8/52)</f>
        <v>0</v>
      </c>
      <c r="E64" s="130" t="n">
        <f aca="false">C64*D64</f>
        <v>0</v>
      </c>
      <c r="F64" s="128" t="n">
        <f aca="false">F63+IF(UPPER($I$6)="ON",H63*$I$8/MAX($F$9,0.01),0)</f>
        <v>0</v>
      </c>
      <c r="G64" s="129" t="n">
        <f aca="false">G63*(1+$F$8/52)</f>
        <v>0</v>
      </c>
      <c r="H64" s="130" t="n">
        <f aca="false">F64*G64</f>
        <v>0</v>
      </c>
      <c r="I64" s="131" t="n">
        <f aca="false">E64+H64</f>
        <v>0</v>
      </c>
      <c r="J64" s="132" t="n">
        <f aca="false">(E64+H64)*4</f>
        <v>0</v>
      </c>
      <c r="K64" s="133" t="str">
        <f aca="false">IF(UPPER($I$6)="ON","✅ DRIP ON — compounding","💵 CASH — deploy to dips")</f>
        <v>✅ DRIP ON — compounding</v>
      </c>
      <c r="L64" s="106" t="n">
        <f aca="false">IF(UPPER($I$6)="ON",I64*$I$8,0)</f>
        <v>0</v>
      </c>
      <c r="M64" s="117" t="n">
        <f aca="false">IF(UPPER($I$6)="ON",I64*(1-$I$8),I64)</f>
        <v>0</v>
      </c>
    </row>
    <row r="65" customFormat="false" ht="15" hidden="false" customHeight="true" outlineLevel="0" collapsed="false">
      <c r="A65" s="118" t="s">
        <v>234</v>
      </c>
      <c r="B65" s="119" t="n">
        <f aca="false">DATE(2026,3,13)+7*(44-1)</f>
        <v>46395</v>
      </c>
      <c r="C65" s="120" t="n">
        <f aca="false">C64+IF(UPPER($I$6)="ON",E64*$I$8/MAX($B$9,0.01),0)</f>
        <v>0</v>
      </c>
      <c r="D65" s="121" t="n">
        <f aca="false">D64*(1+$B$8/52)</f>
        <v>0</v>
      </c>
      <c r="E65" s="122" t="n">
        <f aca="false">C65*D65</f>
        <v>0</v>
      </c>
      <c r="F65" s="120" t="n">
        <f aca="false">F64+IF(UPPER($I$6)="ON",H64*$I$8/MAX($F$9,0.01),0)</f>
        <v>0</v>
      </c>
      <c r="G65" s="121" t="n">
        <f aca="false">G64*(1+$F$8/52)</f>
        <v>0</v>
      </c>
      <c r="H65" s="122" t="n">
        <f aca="false">F65*G65</f>
        <v>0</v>
      </c>
      <c r="I65" s="123" t="n">
        <f aca="false">E65+H65</f>
        <v>0</v>
      </c>
      <c r="J65" s="124" t="n">
        <f aca="false">(E65+H65)*4</f>
        <v>0</v>
      </c>
      <c r="K65" s="125" t="str">
        <f aca="false">IF(UPPER($I$6)="ON","✅ DRIP ON — compounding","💵 CASH — deploy to dips")</f>
        <v>✅ DRIP ON — compounding</v>
      </c>
      <c r="L65" s="106" t="n">
        <f aca="false">IF(UPPER($I$6)="ON",I65*$I$8,0)</f>
        <v>0</v>
      </c>
      <c r="M65" s="117" t="n">
        <f aca="false">IF(UPPER($I$6)="ON",I65*(1-$I$8),I65)</f>
        <v>0</v>
      </c>
    </row>
    <row r="66" customFormat="false" ht="15" hidden="false" customHeight="true" outlineLevel="0" collapsed="false">
      <c r="A66" s="126" t="s">
        <v>235</v>
      </c>
      <c r="B66" s="127" t="n">
        <f aca="false">DATE(2026,3,13)+7*(45-1)</f>
        <v>46402</v>
      </c>
      <c r="C66" s="128" t="n">
        <f aca="false">C65+IF(UPPER($I$6)="ON",E65*$I$8/MAX($B$9,0.01),0)</f>
        <v>0</v>
      </c>
      <c r="D66" s="129" t="n">
        <f aca="false">D65*(1+$B$8/52)</f>
        <v>0</v>
      </c>
      <c r="E66" s="130" t="n">
        <f aca="false">C66*D66</f>
        <v>0</v>
      </c>
      <c r="F66" s="128" t="n">
        <f aca="false">F65+IF(UPPER($I$6)="ON",H65*$I$8/MAX($F$9,0.01),0)</f>
        <v>0</v>
      </c>
      <c r="G66" s="129" t="n">
        <f aca="false">G65*(1+$F$8/52)</f>
        <v>0</v>
      </c>
      <c r="H66" s="130" t="n">
        <f aca="false">F66*G66</f>
        <v>0</v>
      </c>
      <c r="I66" s="131" t="n">
        <f aca="false">E66+H66</f>
        <v>0</v>
      </c>
      <c r="J66" s="132" t="n">
        <f aca="false">(E66+H66)*4</f>
        <v>0</v>
      </c>
      <c r="K66" s="133" t="str">
        <f aca="false">IF(UPPER($I$6)="ON","✅ DRIP ON — compounding","💵 CASH — deploy to dips")</f>
        <v>✅ DRIP ON — compounding</v>
      </c>
      <c r="L66" s="106" t="n">
        <f aca="false">IF(UPPER($I$6)="ON",I66*$I$8,0)</f>
        <v>0</v>
      </c>
      <c r="M66" s="117" t="n">
        <f aca="false">IF(UPPER($I$6)="ON",I66*(1-$I$8),I66)</f>
        <v>0</v>
      </c>
    </row>
    <row r="67" customFormat="false" ht="15" hidden="false" customHeight="true" outlineLevel="0" collapsed="false">
      <c r="A67" s="118" t="s">
        <v>236</v>
      </c>
      <c r="B67" s="119" t="n">
        <f aca="false">DATE(2026,3,13)+7*(46-1)</f>
        <v>46409</v>
      </c>
      <c r="C67" s="120" t="n">
        <f aca="false">C66+IF(UPPER($I$6)="ON",E66*$I$8/MAX($B$9,0.01),0)</f>
        <v>0</v>
      </c>
      <c r="D67" s="121" t="n">
        <f aca="false">D66*(1+$B$8/52)</f>
        <v>0</v>
      </c>
      <c r="E67" s="122" t="n">
        <f aca="false">C67*D67</f>
        <v>0</v>
      </c>
      <c r="F67" s="120" t="n">
        <f aca="false">F66+IF(UPPER($I$6)="ON",H66*$I$8/MAX($F$9,0.01),0)</f>
        <v>0</v>
      </c>
      <c r="G67" s="121" t="n">
        <f aca="false">G66*(1+$F$8/52)</f>
        <v>0</v>
      </c>
      <c r="H67" s="122" t="n">
        <f aca="false">F67*G67</f>
        <v>0</v>
      </c>
      <c r="I67" s="123" t="n">
        <f aca="false">E67+H67</f>
        <v>0</v>
      </c>
      <c r="J67" s="124" t="n">
        <f aca="false">(E67+H67)*4</f>
        <v>0</v>
      </c>
      <c r="K67" s="125" t="str">
        <f aca="false">IF(UPPER($I$6)="ON","✅ DRIP ON — compounding","💵 CASH — deploy to dips")</f>
        <v>✅ DRIP ON — compounding</v>
      </c>
      <c r="L67" s="106" t="n">
        <f aca="false">IF(UPPER($I$6)="ON",I67*$I$8,0)</f>
        <v>0</v>
      </c>
      <c r="M67" s="117" t="n">
        <f aca="false">IF(UPPER($I$6)="ON",I67*(1-$I$8),I67)</f>
        <v>0</v>
      </c>
    </row>
    <row r="68" customFormat="false" ht="15" hidden="false" customHeight="true" outlineLevel="0" collapsed="false">
      <c r="A68" s="126" t="s">
        <v>237</v>
      </c>
      <c r="B68" s="127" t="n">
        <f aca="false">DATE(2026,3,13)+7*(47-1)</f>
        <v>46416</v>
      </c>
      <c r="C68" s="128" t="n">
        <f aca="false">C67+IF(UPPER($I$6)="ON",E67*$I$8/MAX($B$9,0.01),0)</f>
        <v>0</v>
      </c>
      <c r="D68" s="129" t="n">
        <f aca="false">D67*(1+$B$8/52)</f>
        <v>0</v>
      </c>
      <c r="E68" s="130" t="n">
        <f aca="false">C68*D68</f>
        <v>0</v>
      </c>
      <c r="F68" s="128" t="n">
        <f aca="false">F67+IF(UPPER($I$6)="ON",H67*$I$8/MAX($F$9,0.01),0)</f>
        <v>0</v>
      </c>
      <c r="G68" s="129" t="n">
        <f aca="false">G67*(1+$F$8/52)</f>
        <v>0</v>
      </c>
      <c r="H68" s="130" t="n">
        <f aca="false">F68*G68</f>
        <v>0</v>
      </c>
      <c r="I68" s="131" t="n">
        <f aca="false">E68+H68</f>
        <v>0</v>
      </c>
      <c r="J68" s="132" t="n">
        <f aca="false">(E68+H68)*4</f>
        <v>0</v>
      </c>
      <c r="K68" s="133" t="str">
        <f aca="false">IF(UPPER($I$6)="ON","✅ DRIP ON — compounding","💵 CASH — deploy to dips")</f>
        <v>✅ DRIP ON — compounding</v>
      </c>
      <c r="L68" s="106" t="n">
        <f aca="false">IF(UPPER($I$6)="ON",I68*$I$8,0)</f>
        <v>0</v>
      </c>
      <c r="M68" s="117" t="n">
        <f aca="false">IF(UPPER($I$6)="ON",I68*(1-$I$8),I68)</f>
        <v>0</v>
      </c>
    </row>
    <row r="69" customFormat="false" ht="15" hidden="false" customHeight="true" outlineLevel="0" collapsed="false">
      <c r="A69" s="118" t="s">
        <v>238</v>
      </c>
      <c r="B69" s="119" t="n">
        <f aca="false">DATE(2026,3,13)+7*(48-1)</f>
        <v>46423</v>
      </c>
      <c r="C69" s="120" t="n">
        <f aca="false">C68+IF(UPPER($I$6)="ON",E68*$I$8/MAX($B$9,0.01),0)</f>
        <v>0</v>
      </c>
      <c r="D69" s="121" t="n">
        <f aca="false">D68*(1+$B$8/52)</f>
        <v>0</v>
      </c>
      <c r="E69" s="122" t="n">
        <f aca="false">C69*D69</f>
        <v>0</v>
      </c>
      <c r="F69" s="120" t="n">
        <f aca="false">F68+IF(UPPER($I$6)="ON",H68*$I$8/MAX($F$9,0.01),0)</f>
        <v>0</v>
      </c>
      <c r="G69" s="121" t="n">
        <f aca="false">G68*(1+$F$8/52)</f>
        <v>0</v>
      </c>
      <c r="H69" s="122" t="n">
        <f aca="false">F69*G69</f>
        <v>0</v>
      </c>
      <c r="I69" s="123" t="n">
        <f aca="false">E69+H69</f>
        <v>0</v>
      </c>
      <c r="J69" s="124" t="n">
        <f aca="false">(E69+H69)*4</f>
        <v>0</v>
      </c>
      <c r="K69" s="125" t="str">
        <f aca="false">IF(UPPER($I$6)="ON","✅ DRIP ON — compounding","💵 CASH — deploy to dips")</f>
        <v>✅ DRIP ON — compounding</v>
      </c>
      <c r="L69" s="106" t="n">
        <f aca="false">IF(UPPER($I$6)="ON",I69*$I$8,0)</f>
        <v>0</v>
      </c>
      <c r="M69" s="117" t="n">
        <f aca="false">IF(UPPER($I$6)="ON",I69*(1-$I$8),I69)</f>
        <v>0</v>
      </c>
    </row>
    <row r="70" customFormat="false" ht="15" hidden="false" customHeight="true" outlineLevel="0" collapsed="false">
      <c r="A70" s="126" t="s">
        <v>239</v>
      </c>
      <c r="B70" s="127" t="n">
        <f aca="false">DATE(2026,3,13)+7*(49-1)</f>
        <v>46430</v>
      </c>
      <c r="C70" s="128" t="n">
        <f aca="false">C69+IF(UPPER($I$6)="ON",E69*$I$8/MAX($B$9,0.01),0)</f>
        <v>0</v>
      </c>
      <c r="D70" s="129" t="n">
        <f aca="false">D69*(1+$B$8/52)</f>
        <v>0</v>
      </c>
      <c r="E70" s="130" t="n">
        <f aca="false">C70*D70</f>
        <v>0</v>
      </c>
      <c r="F70" s="128" t="n">
        <f aca="false">F69+IF(UPPER($I$6)="ON",H69*$I$8/MAX($F$9,0.01),0)</f>
        <v>0</v>
      </c>
      <c r="G70" s="129" t="n">
        <f aca="false">G69*(1+$F$8/52)</f>
        <v>0</v>
      </c>
      <c r="H70" s="130" t="n">
        <f aca="false">F70*G70</f>
        <v>0</v>
      </c>
      <c r="I70" s="131" t="n">
        <f aca="false">E70+H70</f>
        <v>0</v>
      </c>
      <c r="J70" s="132" t="n">
        <f aca="false">(E70+H70)*4</f>
        <v>0</v>
      </c>
      <c r="K70" s="133" t="str">
        <f aca="false">IF(UPPER($I$6)="ON","✅ DRIP ON — compounding","💵 CASH — deploy to dips")</f>
        <v>✅ DRIP ON — compounding</v>
      </c>
      <c r="L70" s="106" t="n">
        <f aca="false">IF(UPPER($I$6)="ON",I70*$I$8,0)</f>
        <v>0</v>
      </c>
      <c r="M70" s="117" t="n">
        <f aca="false">IF(UPPER($I$6)="ON",I70*(1-$I$8),I70)</f>
        <v>0</v>
      </c>
    </row>
    <row r="71" customFormat="false" ht="15" hidden="false" customHeight="true" outlineLevel="0" collapsed="false">
      <c r="A71" s="118" t="s">
        <v>240</v>
      </c>
      <c r="B71" s="119" t="n">
        <f aca="false">DATE(2026,3,13)+7*(50-1)</f>
        <v>46437</v>
      </c>
      <c r="C71" s="120" t="n">
        <f aca="false">C70+IF(UPPER($I$6)="ON",E70*$I$8/MAX($B$9,0.01),0)</f>
        <v>0</v>
      </c>
      <c r="D71" s="121" t="n">
        <f aca="false">D70*(1+$B$8/52)</f>
        <v>0</v>
      </c>
      <c r="E71" s="122" t="n">
        <f aca="false">C71*D71</f>
        <v>0</v>
      </c>
      <c r="F71" s="120" t="n">
        <f aca="false">F70+IF(UPPER($I$6)="ON",H70*$I$8/MAX($F$9,0.01),0)</f>
        <v>0</v>
      </c>
      <c r="G71" s="121" t="n">
        <f aca="false">G70*(1+$F$8/52)</f>
        <v>0</v>
      </c>
      <c r="H71" s="122" t="n">
        <f aca="false">F71*G71</f>
        <v>0</v>
      </c>
      <c r="I71" s="123" t="n">
        <f aca="false">E71+H71</f>
        <v>0</v>
      </c>
      <c r="J71" s="124" t="n">
        <f aca="false">(E71+H71)*4</f>
        <v>0</v>
      </c>
      <c r="K71" s="125" t="str">
        <f aca="false">IF(UPPER($I$6)="ON","✅ DRIP ON — compounding","💵 CASH — deploy to dips")</f>
        <v>✅ DRIP ON — compounding</v>
      </c>
      <c r="L71" s="106" t="n">
        <f aca="false">IF(UPPER($I$6)="ON",I71*$I$8,0)</f>
        <v>0</v>
      </c>
      <c r="M71" s="117" t="n">
        <f aca="false">IF(UPPER($I$6)="ON",I71*(1-$I$8),I71)</f>
        <v>0</v>
      </c>
    </row>
    <row r="72" customFormat="false" ht="15" hidden="false" customHeight="true" outlineLevel="0" collapsed="false">
      <c r="A72" s="126" t="s">
        <v>241</v>
      </c>
      <c r="B72" s="127" t="n">
        <f aca="false">DATE(2026,3,13)+7*(51-1)</f>
        <v>46444</v>
      </c>
      <c r="C72" s="128" t="n">
        <f aca="false">C71+IF(UPPER($I$6)="ON",E71*$I$8/MAX($B$9,0.01),0)</f>
        <v>0</v>
      </c>
      <c r="D72" s="129" t="n">
        <f aca="false">D71*(1+$B$8/52)</f>
        <v>0</v>
      </c>
      <c r="E72" s="130" t="n">
        <f aca="false">C72*D72</f>
        <v>0</v>
      </c>
      <c r="F72" s="128" t="n">
        <f aca="false">F71+IF(UPPER($I$6)="ON",H71*$I$8/MAX($F$9,0.01),0)</f>
        <v>0</v>
      </c>
      <c r="G72" s="129" t="n">
        <f aca="false">G71*(1+$F$8/52)</f>
        <v>0</v>
      </c>
      <c r="H72" s="130" t="n">
        <f aca="false">F72*G72</f>
        <v>0</v>
      </c>
      <c r="I72" s="131" t="n">
        <f aca="false">E72+H72</f>
        <v>0</v>
      </c>
      <c r="J72" s="132" t="n">
        <f aca="false">(E72+H72)*4</f>
        <v>0</v>
      </c>
      <c r="K72" s="133" t="str">
        <f aca="false">IF(UPPER($I$6)="ON","✅ DRIP ON — compounding","💵 CASH — deploy to dips")</f>
        <v>✅ DRIP ON — compounding</v>
      </c>
      <c r="L72" s="106" t="n">
        <f aca="false">IF(UPPER($I$6)="ON",I72*$I$8,0)</f>
        <v>0</v>
      </c>
      <c r="M72" s="117" t="n">
        <f aca="false">IF(UPPER($I$6)="ON",I72*(1-$I$8),I72)</f>
        <v>0</v>
      </c>
    </row>
    <row r="73" customFormat="false" ht="15" hidden="false" customHeight="true" outlineLevel="0" collapsed="false">
      <c r="A73" s="118" t="s">
        <v>242</v>
      </c>
      <c r="B73" s="119" t="n">
        <f aca="false">DATE(2026,3,13)+7*(52-1)</f>
        <v>46451</v>
      </c>
      <c r="C73" s="120" t="n">
        <f aca="false">C72+IF(UPPER($I$6)="ON",E72*$I$8/MAX($B$9,0.01),0)</f>
        <v>0</v>
      </c>
      <c r="D73" s="121" t="n">
        <f aca="false">D72*(1+$B$8/52)</f>
        <v>0</v>
      </c>
      <c r="E73" s="122" t="n">
        <f aca="false">C73*D73</f>
        <v>0</v>
      </c>
      <c r="F73" s="120" t="n">
        <f aca="false">F72+IF(UPPER($I$6)="ON",H72*$I$8/MAX($F$9,0.01),0)</f>
        <v>0</v>
      </c>
      <c r="G73" s="121" t="n">
        <f aca="false">G72*(1+$F$8/52)</f>
        <v>0</v>
      </c>
      <c r="H73" s="122" t="n">
        <f aca="false">F73*G73</f>
        <v>0</v>
      </c>
      <c r="I73" s="123" t="n">
        <f aca="false">E73+H73</f>
        <v>0</v>
      </c>
      <c r="J73" s="124" t="n">
        <f aca="false">(E73+H73)*4</f>
        <v>0</v>
      </c>
      <c r="K73" s="125" t="str">
        <f aca="false">IF(UPPER($I$6)="ON","✅ DRIP ON — compounding","💵 CASH — deploy to dips")</f>
        <v>✅ DRIP ON — compounding</v>
      </c>
      <c r="L73" s="106" t="n">
        <f aca="false">IF(UPPER($I$6)="ON",I73*$I$8,0)</f>
        <v>0</v>
      </c>
      <c r="M73" s="117" t="n">
        <f aca="false">IF(UPPER($I$6)="ON",I73*(1-$I$8),I73)</f>
        <v>0</v>
      </c>
    </row>
    <row r="75" customFormat="false" ht="25.5" hidden="false" customHeight="true" outlineLevel="0" collapsed="false">
      <c r="A75" s="108" t="s">
        <v>243</v>
      </c>
      <c r="B75" s="108"/>
      <c r="C75" s="108"/>
      <c r="D75" s="108"/>
      <c r="E75" s="108"/>
      <c r="F75" s="108"/>
      <c r="G75" s="108"/>
      <c r="H75" s="108"/>
      <c r="I75" s="108"/>
      <c r="J75" s="108"/>
      <c r="K75" s="108"/>
    </row>
    <row r="76" customFormat="false" ht="21.75" hidden="false" customHeight="true" outlineLevel="0" collapsed="false">
      <c r="A76" s="134" t="s">
        <v>244</v>
      </c>
      <c r="B76" s="134" t="s">
        <v>245</v>
      </c>
      <c r="C76" s="134" t="s">
        <v>246</v>
      </c>
      <c r="D76" s="134" t="s">
        <v>247</v>
      </c>
      <c r="E76" s="134" t="s">
        <v>248</v>
      </c>
      <c r="F76" s="134" t="s">
        <v>249</v>
      </c>
      <c r="G76" s="134" t="s">
        <v>250</v>
      </c>
      <c r="H76" s="134" t="s">
        <v>251</v>
      </c>
      <c r="I76" s="134" t="s">
        <v>252</v>
      </c>
      <c r="J76" s="134"/>
      <c r="K76" s="134"/>
    </row>
    <row r="77" customFormat="false" ht="15" hidden="false" customHeight="true" outlineLevel="0" collapsed="false">
      <c r="A77" s="135" t="s">
        <v>253</v>
      </c>
      <c r="B77" s="136" t="n">
        <f aca="false">SUMPRODUCT(C22:C34,D22:D34)</f>
        <v>0</v>
      </c>
      <c r="C77" s="136" t="n">
        <f aca="false">SUMPRODUCT(F22:F34,G22:G34)</f>
        <v>0</v>
      </c>
      <c r="D77" s="137" t="n">
        <f aca="false">B77+C77</f>
        <v>0</v>
      </c>
      <c r="E77" s="138" t="n">
        <f aca="false">$I$5*3</f>
        <v>30000</v>
      </c>
      <c r="F77" s="139" t="n">
        <f aca="false">D77-E77</f>
        <v>-30000</v>
      </c>
      <c r="G77" s="140" t="n">
        <f aca="false">IFERROR(D77/E77,0)</f>
        <v>0</v>
      </c>
      <c r="H77" s="141" t="n">
        <f aca="false">SUM(L22:L34)</f>
        <v>0</v>
      </c>
      <c r="I77" s="142" t="n">
        <f aca="false">SUM(M22:M34)</f>
        <v>0</v>
      </c>
    </row>
    <row r="78" customFormat="false" ht="15" hidden="false" customHeight="true" outlineLevel="0" collapsed="false">
      <c r="A78" s="135" t="s">
        <v>254</v>
      </c>
      <c r="B78" s="136" t="n">
        <f aca="false">SUMPRODUCT(C35:C47,D35:D47)</f>
        <v>0</v>
      </c>
      <c r="C78" s="136" t="n">
        <f aca="false">SUMPRODUCT(F35:F47,G35:G47)</f>
        <v>0</v>
      </c>
      <c r="D78" s="137" t="n">
        <f aca="false">B78+C78</f>
        <v>0</v>
      </c>
      <c r="E78" s="138" t="n">
        <f aca="false">$I$5*3</f>
        <v>30000</v>
      </c>
      <c r="F78" s="139" t="n">
        <f aca="false">D78-E78</f>
        <v>-30000</v>
      </c>
      <c r="G78" s="140" t="n">
        <f aca="false">IFERROR(D78/E78,0)</f>
        <v>0</v>
      </c>
      <c r="H78" s="141" t="n">
        <f aca="false">SUM(L35:L47)</f>
        <v>0</v>
      </c>
      <c r="I78" s="142" t="n">
        <f aca="false">SUM(M35:M47)</f>
        <v>0</v>
      </c>
    </row>
    <row r="79" customFormat="false" ht="15" hidden="false" customHeight="true" outlineLevel="0" collapsed="false">
      <c r="A79" s="135" t="s">
        <v>255</v>
      </c>
      <c r="B79" s="136" t="n">
        <f aca="false">SUMPRODUCT(C48:C60,D48:D60)</f>
        <v>0</v>
      </c>
      <c r="C79" s="136" t="n">
        <f aca="false">SUMPRODUCT(F48:F60,G48:G60)</f>
        <v>0</v>
      </c>
      <c r="D79" s="137" t="n">
        <f aca="false">B79+C79</f>
        <v>0</v>
      </c>
      <c r="E79" s="138" t="n">
        <f aca="false">$I$5*3</f>
        <v>30000</v>
      </c>
      <c r="F79" s="139" t="n">
        <f aca="false">D79-E79</f>
        <v>-30000</v>
      </c>
      <c r="G79" s="140" t="n">
        <f aca="false">IFERROR(D79/E79,0)</f>
        <v>0</v>
      </c>
      <c r="H79" s="141" t="n">
        <f aca="false">SUM(L48:L60)</f>
        <v>0</v>
      </c>
      <c r="I79" s="142" t="n">
        <f aca="false">SUM(M48:M60)</f>
        <v>0</v>
      </c>
    </row>
    <row r="80" customFormat="false" ht="15" hidden="false" customHeight="true" outlineLevel="0" collapsed="false">
      <c r="A80" s="135" t="s">
        <v>256</v>
      </c>
      <c r="B80" s="136" t="n">
        <f aca="false">SUMPRODUCT(C61:C73,D61:D73)</f>
        <v>0</v>
      </c>
      <c r="C80" s="136" t="n">
        <f aca="false">SUMPRODUCT(F61:F73,G61:G73)</f>
        <v>0</v>
      </c>
      <c r="D80" s="137" t="n">
        <f aca="false">B80+C80</f>
        <v>0</v>
      </c>
      <c r="E80" s="138" t="n">
        <f aca="false">$I$5*3</f>
        <v>30000</v>
      </c>
      <c r="F80" s="139" t="n">
        <f aca="false">D80-E80</f>
        <v>-30000</v>
      </c>
      <c r="G80" s="140" t="n">
        <f aca="false">IFERROR(D80/E80,0)</f>
        <v>0</v>
      </c>
      <c r="H80" s="141" t="n">
        <f aca="false">SUM(L61:L73)</f>
        <v>0</v>
      </c>
      <c r="I80" s="142" t="n">
        <f aca="false">SUM(M61:M73)</f>
        <v>0</v>
      </c>
    </row>
    <row r="81" customFormat="false" ht="15" hidden="false" customHeight="true" outlineLevel="0" collapsed="false">
      <c r="A81" s="143" t="s">
        <v>257</v>
      </c>
      <c r="B81" s="144" t="n">
        <f aca="false">SUMPRODUCT(C22:C73,D22:D73)</f>
        <v>0</v>
      </c>
      <c r="C81" s="144" t="n">
        <f aca="false">SUMPRODUCT(F22:F73,G22:G73)</f>
        <v>0</v>
      </c>
      <c r="D81" s="145" t="n">
        <f aca="false">B81+C81</f>
        <v>0</v>
      </c>
      <c r="E81" s="146" t="n">
        <f aca="false">$I$5*12</f>
        <v>120000</v>
      </c>
      <c r="F81" s="147" t="n">
        <f aca="false">D81-E81</f>
        <v>-120000</v>
      </c>
      <c r="G81" s="148" t="n">
        <f aca="false">IFERROR(D81/E81,0)</f>
        <v>0</v>
      </c>
      <c r="H81" s="149" t="n">
        <f aca="false">SUM(L22:L73)</f>
        <v>0</v>
      </c>
      <c r="I81" s="150" t="n">
        <f aca="false">SUM(M22:M73)</f>
        <v>0</v>
      </c>
    </row>
    <row r="83" customFormat="false" ht="15" hidden="false" customHeight="true" outlineLevel="0" collapsed="false">
      <c r="A83" s="151" t="s">
        <v>258</v>
      </c>
      <c r="B83" s="151"/>
      <c r="C83" s="151"/>
      <c r="D83" s="151"/>
      <c r="E83" s="151"/>
      <c r="F83" s="151"/>
      <c r="G83" s="151"/>
      <c r="H83" s="151"/>
      <c r="I83" s="151"/>
      <c r="J83" s="151"/>
      <c r="K83" s="151"/>
      <c r="L83" s="151"/>
      <c r="M83" s="151"/>
    </row>
  </sheetData>
  <mergeCells count="11">
    <mergeCell ref="A1:K1"/>
    <mergeCell ref="A2:K2"/>
    <mergeCell ref="A3:K3"/>
    <mergeCell ref="A4:C4"/>
    <mergeCell ref="E4:G4"/>
    <mergeCell ref="H4:J4"/>
    <mergeCell ref="H10:K10"/>
    <mergeCell ref="A12:K12"/>
    <mergeCell ref="A20:K20"/>
    <mergeCell ref="A75:K75"/>
    <mergeCell ref="A83:M8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8" topLeftCell="A9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7"/>
    <col collapsed="false" customWidth="true" hidden="false" outlineLevel="0" max="2" min="2" style="1" width="10"/>
    <col collapsed="false" customWidth="true" hidden="false" outlineLevel="0" max="4" min="3" style="1" width="14"/>
    <col collapsed="false" customWidth="true" hidden="false" outlineLevel="0" max="6" min="5" style="1" width="12"/>
    <col collapsed="false" customWidth="true" hidden="false" outlineLevel="0" max="7" min="7" style="1" width="14"/>
    <col collapsed="false" customWidth="true" hidden="false" outlineLevel="0" max="8" min="8" style="1" width="13"/>
    <col collapsed="false" customWidth="true" hidden="false" outlineLevel="0" max="10" min="9" style="1" width="14"/>
    <col collapsed="false" customWidth="true" hidden="false" outlineLevel="0" max="12" min="11" style="1" width="12"/>
    <col collapsed="false" customWidth="true" hidden="false" outlineLevel="0" max="13" min="13" style="1" width="14"/>
    <col collapsed="false" customWidth="true" hidden="false" outlineLevel="0" max="14" min="14" style="1" width="13"/>
    <col collapsed="false" customWidth="true" hidden="false" outlineLevel="0" max="16" min="15" style="1" width="14"/>
    <col collapsed="false" customWidth="true" hidden="false" outlineLevel="0" max="19" min="17" style="1" width="16"/>
  </cols>
  <sheetData>
    <row r="1" customFormat="false" ht="42" hidden="false" customHeight="true" outlineLevel="0" collapsed="false">
      <c r="A1" s="90" t="s">
        <v>259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</row>
    <row r="2" customFormat="false" ht="18" hidden="false" customHeight="true" outlineLevel="0" collapsed="false">
      <c r="A2" s="91" t="s">
        <v>260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</row>
    <row r="3" customFormat="false" ht="25.5" hidden="false" customHeight="true" outlineLevel="0" collapsed="false">
      <c r="A3" s="92" t="s">
        <v>261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</row>
    <row r="4" customFormat="false" ht="30" hidden="false" customHeight="true" outlineLevel="0" collapsed="false">
      <c r="A4" s="152" t="s">
        <v>262</v>
      </c>
      <c r="C4" s="153" t="s">
        <v>263</v>
      </c>
      <c r="D4" s="154" t="s">
        <v>264</v>
      </c>
      <c r="E4" s="152" t="s">
        <v>265</v>
      </c>
      <c r="G4" s="152" t="s">
        <v>266</v>
      </c>
      <c r="I4" s="152" t="s">
        <v>267</v>
      </c>
      <c r="K4" s="153" t="s">
        <v>268</v>
      </c>
      <c r="L4" s="154" t="s">
        <v>269</v>
      </c>
      <c r="M4" s="152" t="s">
        <v>270</v>
      </c>
      <c r="O4" s="152" t="s">
        <v>271</v>
      </c>
      <c r="Q4" s="152" t="s">
        <v>272</v>
      </c>
      <c r="S4" s="152" t="s">
        <v>273</v>
      </c>
    </row>
    <row r="5" customFormat="false" ht="21.75" hidden="false" customHeight="true" outlineLevel="0" collapsed="false">
      <c r="A5" s="155" t="n">
        <f aca="false">'🔥 Dashboard'!B9</f>
        <v>0</v>
      </c>
      <c r="C5" s="156" t="n">
        <f aca="false">'🔥 Dashboard'!E7</f>
        <v>0</v>
      </c>
      <c r="D5" s="103"/>
      <c r="E5" s="103"/>
      <c r="G5" s="157" t="n">
        <v>0.02</v>
      </c>
      <c r="I5" s="155" t="n">
        <f aca="false">'🔥 Dashboard'!B17</f>
        <v>0</v>
      </c>
      <c r="K5" s="156" t="n">
        <f aca="false">'🔥 Dashboard'!E15</f>
        <v>0</v>
      </c>
      <c r="L5" s="103"/>
      <c r="M5" s="103"/>
      <c r="O5" s="157" t="n">
        <v>-0.03</v>
      </c>
      <c r="Q5" s="158" t="str">
        <f aca="false">'📊 Income Forecast'!I6</f>
        <v>ON</v>
      </c>
      <c r="S5" s="159" t="n">
        <f aca="false">'📊 Income Forecast'!I8</f>
        <v>1</v>
      </c>
    </row>
    <row r="6" customFormat="false" ht="13.5" hidden="false" customHeight="true" outlineLevel="0" collapsed="false">
      <c r="A6" s="160" t="s">
        <v>274</v>
      </c>
      <c r="C6" s="161" t="s">
        <v>275</v>
      </c>
      <c r="D6" s="161" t="s">
        <v>276</v>
      </c>
      <c r="E6" s="160" t="s">
        <v>277</v>
      </c>
      <c r="G6" s="160" t="s">
        <v>278</v>
      </c>
      <c r="I6" s="160" t="s">
        <v>274</v>
      </c>
      <c r="K6" s="161" t="s">
        <v>275</v>
      </c>
      <c r="L6" s="161" t="s">
        <v>276</v>
      </c>
      <c r="M6" s="160" t="s">
        <v>277</v>
      </c>
      <c r="O6" s="160" t="s">
        <v>278</v>
      </c>
      <c r="Q6" s="160" t="s">
        <v>279</v>
      </c>
      <c r="S6" s="160" t="s">
        <v>279</v>
      </c>
    </row>
    <row r="7" customFormat="false" ht="25.5" hidden="false" customHeight="true" outlineLevel="0" collapsed="false">
      <c r="A7" s="162" t="s">
        <v>280</v>
      </c>
      <c r="B7" s="162"/>
      <c r="C7" s="163" t="s">
        <v>281</v>
      </c>
      <c r="D7" s="163"/>
      <c r="E7" s="163"/>
      <c r="F7" s="163"/>
      <c r="G7" s="163"/>
      <c r="H7" s="163"/>
      <c r="I7" s="164" t="s">
        <v>282</v>
      </c>
      <c r="J7" s="164"/>
      <c r="K7" s="164"/>
      <c r="L7" s="164"/>
      <c r="M7" s="164"/>
      <c r="N7" s="164"/>
      <c r="O7" s="165" t="s">
        <v>283</v>
      </c>
      <c r="P7" s="165"/>
      <c r="Q7" s="166" t="s">
        <v>284</v>
      </c>
      <c r="R7" s="166"/>
      <c r="S7" s="166"/>
    </row>
    <row r="8" customFormat="false" ht="31.5" hidden="false" customHeight="true" outlineLevel="0" collapsed="false">
      <c r="A8" s="167" t="s">
        <v>285</v>
      </c>
      <c r="B8" s="167" t="s">
        <v>286</v>
      </c>
      <c r="C8" s="168" t="s">
        <v>287</v>
      </c>
      <c r="D8" s="169" t="s">
        <v>288</v>
      </c>
      <c r="E8" s="170" t="s">
        <v>289</v>
      </c>
      <c r="F8" s="170" t="s">
        <v>290</v>
      </c>
      <c r="G8" s="168" t="s">
        <v>291</v>
      </c>
      <c r="H8" s="168" t="s">
        <v>292</v>
      </c>
      <c r="I8" s="171" t="s">
        <v>287</v>
      </c>
      <c r="J8" s="172" t="s">
        <v>288</v>
      </c>
      <c r="K8" s="173" t="s">
        <v>289</v>
      </c>
      <c r="L8" s="173" t="s">
        <v>290</v>
      </c>
      <c r="M8" s="171" t="s">
        <v>291</v>
      </c>
      <c r="N8" s="171" t="s">
        <v>292</v>
      </c>
      <c r="O8" s="174" t="s">
        <v>293</v>
      </c>
      <c r="P8" s="174" t="s">
        <v>294</v>
      </c>
      <c r="Q8" s="175" t="s">
        <v>295</v>
      </c>
      <c r="R8" s="175" t="s">
        <v>296</v>
      </c>
      <c r="S8" s="176" t="s">
        <v>297</v>
      </c>
    </row>
    <row r="9" customFormat="false" ht="15" hidden="false" customHeight="true" outlineLevel="0" collapsed="false">
      <c r="A9" s="177" t="n">
        <v>1</v>
      </c>
      <c r="B9" s="178" t="n">
        <f aca="false">DATE(2026,3,13)+7*(1-1)</f>
        <v>46094</v>
      </c>
      <c r="C9" s="179" t="n">
        <f aca="false">'🔥 Dashboard'!B9</f>
        <v>0</v>
      </c>
      <c r="D9" s="180" t="n">
        <f aca="false">'🔥 Dashboard'!B9</f>
        <v>0</v>
      </c>
      <c r="E9" s="181" t="n">
        <f aca="false">$C$5</f>
        <v>0</v>
      </c>
      <c r="F9" s="182" t="n">
        <f aca="false">$E$5</f>
        <v>0</v>
      </c>
      <c r="G9" s="183" t="n">
        <f aca="false">C9*$D$5</f>
        <v>0</v>
      </c>
      <c r="H9" s="184" t="n">
        <v>0</v>
      </c>
      <c r="I9" s="185" t="n">
        <f aca="false">'🔥 Dashboard'!B17</f>
        <v>0</v>
      </c>
      <c r="J9" s="186" t="n">
        <f aca="false">'🔥 Dashboard'!B17</f>
        <v>0</v>
      </c>
      <c r="K9" s="187" t="n">
        <f aca="false">$K$5</f>
        <v>0</v>
      </c>
      <c r="L9" s="188" t="n">
        <f aca="false">$M$5</f>
        <v>0</v>
      </c>
      <c r="M9" s="189" t="n">
        <f aca="false">I9*$L$5</f>
        <v>0</v>
      </c>
      <c r="N9" s="190" t="n">
        <v>0</v>
      </c>
      <c r="O9" s="191"/>
      <c r="P9" s="191"/>
      <c r="Q9" s="192" t="n">
        <f aca="false">IFERROR(O9-C9,"")</f>
        <v>0</v>
      </c>
      <c r="R9" s="192" t="n">
        <f aca="false">IFERROR(P9-I9,"")</f>
        <v>0</v>
      </c>
      <c r="S9" s="193"/>
    </row>
    <row r="10" customFormat="false" ht="15" hidden="false" customHeight="true" outlineLevel="0" collapsed="false">
      <c r="A10" s="194" t="n">
        <v>2</v>
      </c>
      <c r="B10" s="195" t="n">
        <f aca="false">DATE(2026,3,13)+7*(2-1)</f>
        <v>46101</v>
      </c>
      <c r="C10" s="196" t="n">
        <f aca="false">C9+IF(UPPER($Q$5)="ON",(C9*$C$5*(1+$G$5/52)^1*$S$5)/MAX($D$5,0.01),0)</f>
        <v>0</v>
      </c>
      <c r="D10" s="197" t="n">
        <f aca="false">D9</f>
        <v>0</v>
      </c>
      <c r="E10" s="198" t="n">
        <f aca="false">E9*(1+$G$5/52)</f>
        <v>0</v>
      </c>
      <c r="F10" s="199" t="n">
        <f aca="false">IFERROR((C9*F9+H10*$D$5)/MAX(C10,0.001),F9)</f>
        <v>0</v>
      </c>
      <c r="G10" s="200" t="n">
        <f aca="false">C10*$D$5</f>
        <v>0</v>
      </c>
      <c r="H10" s="201" t="n">
        <f aca="false">C10-C9</f>
        <v>0</v>
      </c>
      <c r="I10" s="202" t="n">
        <f aca="false">I9+IF(UPPER($Q$5)="ON",(I9*$K$5*(1+$O$5/52)^1*$S$5)/MAX($L$5,0.01),0)</f>
        <v>0</v>
      </c>
      <c r="J10" s="203" t="n">
        <f aca="false">J9</f>
        <v>0</v>
      </c>
      <c r="K10" s="204" t="n">
        <f aca="false">K9*(1+$O$5/52)</f>
        <v>0</v>
      </c>
      <c r="L10" s="205" t="n">
        <f aca="false">IFERROR((I9*L9+N10*$L$5)/MAX(I10,0.001),L9)</f>
        <v>0</v>
      </c>
      <c r="M10" s="206" t="n">
        <f aca="false">I10*$L$5</f>
        <v>0</v>
      </c>
      <c r="N10" s="207" t="n">
        <f aca="false">I10-I9</f>
        <v>0</v>
      </c>
      <c r="O10" s="191"/>
      <c r="P10" s="191"/>
      <c r="Q10" s="208" t="n">
        <f aca="false">IFERROR(O10-C10,"")</f>
        <v>0</v>
      </c>
      <c r="R10" s="208" t="n">
        <f aca="false">IFERROR(P10-I10,"")</f>
        <v>0</v>
      </c>
      <c r="S10" s="209"/>
    </row>
    <row r="11" customFormat="false" ht="15" hidden="false" customHeight="true" outlineLevel="0" collapsed="false">
      <c r="A11" s="177" t="n">
        <v>3</v>
      </c>
      <c r="B11" s="178" t="n">
        <f aca="false">DATE(2026,3,13)+7*(3-1)</f>
        <v>46108</v>
      </c>
      <c r="C11" s="179" t="n">
        <f aca="false">C10+IF(UPPER($Q$5)="ON",(C10*$C$5*(1+$G$5/52)^2*$S$5)/MAX($D$5,0.01),0)</f>
        <v>0</v>
      </c>
      <c r="D11" s="180" t="n">
        <f aca="false">D10</f>
        <v>0</v>
      </c>
      <c r="E11" s="181" t="n">
        <f aca="false">E10*(1+$G$5/52)</f>
        <v>0</v>
      </c>
      <c r="F11" s="182" t="n">
        <f aca="false">IFERROR((C10*F10+H11*$D$5)/MAX(C11,0.001),F10)</f>
        <v>0</v>
      </c>
      <c r="G11" s="183" t="n">
        <f aca="false">C11*$D$5</f>
        <v>0</v>
      </c>
      <c r="H11" s="184" t="n">
        <f aca="false">C11-C10</f>
        <v>0</v>
      </c>
      <c r="I11" s="185" t="n">
        <f aca="false">I10+IF(UPPER($Q$5)="ON",(I10*$K$5*(1+$O$5/52)^2*$S$5)/MAX($L$5,0.01),0)</f>
        <v>0</v>
      </c>
      <c r="J11" s="186" t="n">
        <f aca="false">J10</f>
        <v>0</v>
      </c>
      <c r="K11" s="187" t="n">
        <f aca="false">K10*(1+$O$5/52)</f>
        <v>0</v>
      </c>
      <c r="L11" s="188" t="n">
        <f aca="false">IFERROR((I10*L10+N11*$L$5)/MAX(I11,0.001),L10)</f>
        <v>0</v>
      </c>
      <c r="M11" s="189" t="n">
        <f aca="false">I11*$L$5</f>
        <v>0</v>
      </c>
      <c r="N11" s="190" t="n">
        <f aca="false">I11-I10</f>
        <v>0</v>
      </c>
      <c r="O11" s="191"/>
      <c r="P11" s="191"/>
      <c r="Q11" s="192" t="n">
        <f aca="false">IFERROR(O11-C11,"")</f>
        <v>0</v>
      </c>
      <c r="R11" s="192" t="n">
        <f aca="false">IFERROR(P11-I11,"")</f>
        <v>0</v>
      </c>
      <c r="S11" s="193"/>
    </row>
    <row r="12" customFormat="false" ht="15" hidden="false" customHeight="true" outlineLevel="0" collapsed="false">
      <c r="A12" s="194" t="n">
        <v>4</v>
      </c>
      <c r="B12" s="195" t="n">
        <f aca="false">DATE(2026,3,13)+7*(4-1)</f>
        <v>46115</v>
      </c>
      <c r="C12" s="196" t="n">
        <f aca="false">C11+IF(UPPER($Q$5)="ON",(C11*$C$5*(1+$G$5/52)^3*$S$5)/MAX($D$5,0.01),0)</f>
        <v>0</v>
      </c>
      <c r="D12" s="197" t="n">
        <f aca="false">D11</f>
        <v>0</v>
      </c>
      <c r="E12" s="198" t="n">
        <f aca="false">E11*(1+$G$5/52)</f>
        <v>0</v>
      </c>
      <c r="F12" s="199" t="n">
        <f aca="false">IFERROR((C11*F11+H12*$D$5)/MAX(C12,0.001),F11)</f>
        <v>0</v>
      </c>
      <c r="G12" s="200" t="n">
        <f aca="false">C12*$D$5</f>
        <v>0</v>
      </c>
      <c r="H12" s="201" t="n">
        <f aca="false">C12-C11</f>
        <v>0</v>
      </c>
      <c r="I12" s="202" t="n">
        <f aca="false">I11+IF(UPPER($Q$5)="ON",(I11*$K$5*(1+$O$5/52)^3*$S$5)/MAX($L$5,0.01),0)</f>
        <v>0</v>
      </c>
      <c r="J12" s="203" t="n">
        <f aca="false">J11</f>
        <v>0</v>
      </c>
      <c r="K12" s="204" t="n">
        <f aca="false">K11*(1+$O$5/52)</f>
        <v>0</v>
      </c>
      <c r="L12" s="205" t="n">
        <f aca="false">IFERROR((I11*L11+N12*$L$5)/MAX(I12,0.001),L11)</f>
        <v>0</v>
      </c>
      <c r="M12" s="206" t="n">
        <f aca="false">I12*$L$5</f>
        <v>0</v>
      </c>
      <c r="N12" s="207" t="n">
        <f aca="false">I12-I11</f>
        <v>0</v>
      </c>
      <c r="O12" s="191"/>
      <c r="P12" s="191"/>
      <c r="Q12" s="208" t="n">
        <f aca="false">IFERROR(O12-C12,"")</f>
        <v>0</v>
      </c>
      <c r="R12" s="208" t="n">
        <f aca="false">IFERROR(P12-I12,"")</f>
        <v>0</v>
      </c>
      <c r="S12" s="209"/>
    </row>
    <row r="13" customFormat="false" ht="15" hidden="false" customHeight="true" outlineLevel="0" collapsed="false">
      <c r="A13" s="177" t="n">
        <v>5</v>
      </c>
      <c r="B13" s="178" t="n">
        <f aca="false">DATE(2026,3,13)+7*(5-1)</f>
        <v>46122</v>
      </c>
      <c r="C13" s="179" t="n">
        <f aca="false">C12+IF(UPPER($Q$5)="ON",(C12*$C$5*(1+$G$5/52)^4*$S$5)/MAX($D$5,0.01),0)</f>
        <v>0</v>
      </c>
      <c r="D13" s="180" t="n">
        <f aca="false">D12</f>
        <v>0</v>
      </c>
      <c r="E13" s="181" t="n">
        <f aca="false">E12*(1+$G$5/52)</f>
        <v>0</v>
      </c>
      <c r="F13" s="182" t="n">
        <f aca="false">IFERROR((C12*F12+H13*$D$5)/MAX(C13,0.001),F12)</f>
        <v>0</v>
      </c>
      <c r="G13" s="183" t="n">
        <f aca="false">C13*$D$5</f>
        <v>0</v>
      </c>
      <c r="H13" s="184" t="n">
        <f aca="false">C13-C12</f>
        <v>0</v>
      </c>
      <c r="I13" s="185" t="n">
        <f aca="false">I12+IF(UPPER($Q$5)="ON",(I12*$K$5*(1+$O$5/52)^4*$S$5)/MAX($L$5,0.01),0)</f>
        <v>0</v>
      </c>
      <c r="J13" s="186" t="n">
        <f aca="false">J12</f>
        <v>0</v>
      </c>
      <c r="K13" s="187" t="n">
        <f aca="false">K12*(1+$O$5/52)</f>
        <v>0</v>
      </c>
      <c r="L13" s="188" t="n">
        <f aca="false">IFERROR((I12*L12+N13*$L$5)/MAX(I13,0.001),L12)</f>
        <v>0</v>
      </c>
      <c r="M13" s="189" t="n">
        <f aca="false">I13*$L$5</f>
        <v>0</v>
      </c>
      <c r="N13" s="190" t="n">
        <f aca="false">I13-I12</f>
        <v>0</v>
      </c>
      <c r="O13" s="191"/>
      <c r="P13" s="191"/>
      <c r="Q13" s="192" t="n">
        <f aca="false">IFERROR(O13-C13,"")</f>
        <v>0</v>
      </c>
      <c r="R13" s="192" t="n">
        <f aca="false">IFERROR(P13-I13,"")</f>
        <v>0</v>
      </c>
      <c r="S13" s="193"/>
    </row>
    <row r="14" customFormat="false" ht="15" hidden="false" customHeight="true" outlineLevel="0" collapsed="false">
      <c r="A14" s="194" t="n">
        <v>6</v>
      </c>
      <c r="B14" s="195" t="n">
        <f aca="false">DATE(2026,3,13)+7*(6-1)</f>
        <v>46129</v>
      </c>
      <c r="C14" s="196" t="n">
        <f aca="false">C13+IF(UPPER($Q$5)="ON",(C13*$C$5*(1+$G$5/52)^5*$S$5)/MAX($D$5,0.01),0)</f>
        <v>0</v>
      </c>
      <c r="D14" s="197" t="n">
        <f aca="false">D13</f>
        <v>0</v>
      </c>
      <c r="E14" s="198" t="n">
        <f aca="false">E13*(1+$G$5/52)</f>
        <v>0</v>
      </c>
      <c r="F14" s="199" t="n">
        <f aca="false">IFERROR((C13*F13+H14*$D$5)/MAX(C14,0.001),F13)</f>
        <v>0</v>
      </c>
      <c r="G14" s="200" t="n">
        <f aca="false">C14*$D$5</f>
        <v>0</v>
      </c>
      <c r="H14" s="201" t="n">
        <f aca="false">C14-C13</f>
        <v>0</v>
      </c>
      <c r="I14" s="202" t="n">
        <f aca="false">I13+IF(UPPER($Q$5)="ON",(I13*$K$5*(1+$O$5/52)^5*$S$5)/MAX($L$5,0.01),0)</f>
        <v>0</v>
      </c>
      <c r="J14" s="203" t="n">
        <f aca="false">J13</f>
        <v>0</v>
      </c>
      <c r="K14" s="204" t="n">
        <f aca="false">K13*(1+$O$5/52)</f>
        <v>0</v>
      </c>
      <c r="L14" s="205" t="n">
        <f aca="false">IFERROR((I13*L13+N14*$L$5)/MAX(I14,0.001),L13)</f>
        <v>0</v>
      </c>
      <c r="M14" s="206" t="n">
        <f aca="false">I14*$L$5</f>
        <v>0</v>
      </c>
      <c r="N14" s="207" t="n">
        <f aca="false">I14-I13</f>
        <v>0</v>
      </c>
      <c r="O14" s="191"/>
      <c r="P14" s="191"/>
      <c r="Q14" s="208" t="n">
        <f aca="false">IFERROR(O14-C14,"")</f>
        <v>0</v>
      </c>
      <c r="R14" s="208" t="n">
        <f aca="false">IFERROR(P14-I14,"")</f>
        <v>0</v>
      </c>
      <c r="S14" s="209"/>
    </row>
    <row r="15" customFormat="false" ht="15" hidden="false" customHeight="true" outlineLevel="0" collapsed="false">
      <c r="A15" s="177" t="n">
        <v>7</v>
      </c>
      <c r="B15" s="178" t="n">
        <f aca="false">DATE(2026,3,13)+7*(7-1)</f>
        <v>46136</v>
      </c>
      <c r="C15" s="179" t="n">
        <f aca="false">C14+IF(UPPER($Q$5)="ON",(C14*$C$5*(1+$G$5/52)^6*$S$5)/MAX($D$5,0.01),0)</f>
        <v>0</v>
      </c>
      <c r="D15" s="180" t="n">
        <f aca="false">D14</f>
        <v>0</v>
      </c>
      <c r="E15" s="181" t="n">
        <f aca="false">E14*(1+$G$5/52)</f>
        <v>0</v>
      </c>
      <c r="F15" s="182" t="n">
        <f aca="false">IFERROR((C14*F14+H15*$D$5)/MAX(C15,0.001),F14)</f>
        <v>0</v>
      </c>
      <c r="G15" s="183" t="n">
        <f aca="false">C15*$D$5</f>
        <v>0</v>
      </c>
      <c r="H15" s="184" t="n">
        <f aca="false">C15-C14</f>
        <v>0</v>
      </c>
      <c r="I15" s="185" t="n">
        <f aca="false">I14+IF(UPPER($Q$5)="ON",(I14*$K$5*(1+$O$5/52)^6*$S$5)/MAX($L$5,0.01),0)</f>
        <v>0</v>
      </c>
      <c r="J15" s="186" t="n">
        <f aca="false">J14</f>
        <v>0</v>
      </c>
      <c r="K15" s="187" t="n">
        <f aca="false">K14*(1+$O$5/52)</f>
        <v>0</v>
      </c>
      <c r="L15" s="188" t="n">
        <f aca="false">IFERROR((I14*L14+N15*$L$5)/MAX(I15,0.001),L14)</f>
        <v>0</v>
      </c>
      <c r="M15" s="189" t="n">
        <f aca="false">I15*$L$5</f>
        <v>0</v>
      </c>
      <c r="N15" s="190" t="n">
        <f aca="false">I15-I14</f>
        <v>0</v>
      </c>
      <c r="O15" s="191"/>
      <c r="P15" s="191"/>
      <c r="Q15" s="192" t="n">
        <f aca="false">IFERROR(O15-C15,"")</f>
        <v>0</v>
      </c>
      <c r="R15" s="192" t="n">
        <f aca="false">IFERROR(P15-I15,"")</f>
        <v>0</v>
      </c>
      <c r="S15" s="193"/>
    </row>
    <row r="16" customFormat="false" ht="15" hidden="false" customHeight="true" outlineLevel="0" collapsed="false">
      <c r="A16" s="194" t="n">
        <v>8</v>
      </c>
      <c r="B16" s="195" t="n">
        <f aca="false">DATE(2026,3,13)+7*(8-1)</f>
        <v>46143</v>
      </c>
      <c r="C16" s="196" t="n">
        <f aca="false">C15+IF(UPPER($Q$5)="ON",(C15*$C$5*(1+$G$5/52)^7*$S$5)/MAX($D$5,0.01),0)</f>
        <v>0</v>
      </c>
      <c r="D16" s="197" t="n">
        <f aca="false">D15</f>
        <v>0</v>
      </c>
      <c r="E16" s="198" t="n">
        <f aca="false">E15*(1+$G$5/52)</f>
        <v>0</v>
      </c>
      <c r="F16" s="199" t="n">
        <f aca="false">IFERROR((C15*F15+H16*$D$5)/MAX(C16,0.001),F15)</f>
        <v>0</v>
      </c>
      <c r="G16" s="200" t="n">
        <f aca="false">C16*$D$5</f>
        <v>0</v>
      </c>
      <c r="H16" s="201" t="n">
        <f aca="false">C16-C15</f>
        <v>0</v>
      </c>
      <c r="I16" s="202" t="n">
        <f aca="false">I15+IF(UPPER($Q$5)="ON",(I15*$K$5*(1+$O$5/52)^7*$S$5)/MAX($L$5,0.01),0)</f>
        <v>0</v>
      </c>
      <c r="J16" s="203" t="n">
        <f aca="false">J15</f>
        <v>0</v>
      </c>
      <c r="K16" s="204" t="n">
        <f aca="false">K15*(1+$O$5/52)</f>
        <v>0</v>
      </c>
      <c r="L16" s="205" t="n">
        <f aca="false">IFERROR((I15*L15+N16*$L$5)/MAX(I16,0.001),L15)</f>
        <v>0</v>
      </c>
      <c r="M16" s="206" t="n">
        <f aca="false">I16*$L$5</f>
        <v>0</v>
      </c>
      <c r="N16" s="207" t="n">
        <f aca="false">I16-I15</f>
        <v>0</v>
      </c>
      <c r="O16" s="191"/>
      <c r="P16" s="191"/>
      <c r="Q16" s="208" t="n">
        <f aca="false">IFERROR(O16-C16,"")</f>
        <v>0</v>
      </c>
      <c r="R16" s="208" t="n">
        <f aca="false">IFERROR(P16-I16,"")</f>
        <v>0</v>
      </c>
      <c r="S16" s="209"/>
    </row>
    <row r="17" customFormat="false" ht="15" hidden="false" customHeight="true" outlineLevel="0" collapsed="false">
      <c r="A17" s="177" t="n">
        <v>9</v>
      </c>
      <c r="B17" s="178" t="n">
        <f aca="false">DATE(2026,3,13)+7*(9-1)</f>
        <v>46150</v>
      </c>
      <c r="C17" s="179" t="n">
        <f aca="false">C16+IF(UPPER($Q$5)="ON",(C16*$C$5*(1+$G$5/52)^8*$S$5)/MAX($D$5,0.01),0)</f>
        <v>0</v>
      </c>
      <c r="D17" s="180" t="n">
        <f aca="false">D16</f>
        <v>0</v>
      </c>
      <c r="E17" s="181" t="n">
        <f aca="false">E16*(1+$G$5/52)</f>
        <v>0</v>
      </c>
      <c r="F17" s="182" t="n">
        <f aca="false">IFERROR((C16*F16+H17*$D$5)/MAX(C17,0.001),F16)</f>
        <v>0</v>
      </c>
      <c r="G17" s="183" t="n">
        <f aca="false">C17*$D$5</f>
        <v>0</v>
      </c>
      <c r="H17" s="184" t="n">
        <f aca="false">C17-C16</f>
        <v>0</v>
      </c>
      <c r="I17" s="185" t="n">
        <f aca="false">I16+IF(UPPER($Q$5)="ON",(I16*$K$5*(1+$O$5/52)^8*$S$5)/MAX($L$5,0.01),0)</f>
        <v>0</v>
      </c>
      <c r="J17" s="186" t="n">
        <f aca="false">J16</f>
        <v>0</v>
      </c>
      <c r="K17" s="187" t="n">
        <f aca="false">K16*(1+$O$5/52)</f>
        <v>0</v>
      </c>
      <c r="L17" s="188" t="n">
        <f aca="false">IFERROR((I16*L16+N17*$L$5)/MAX(I17,0.001),L16)</f>
        <v>0</v>
      </c>
      <c r="M17" s="189" t="n">
        <f aca="false">I17*$L$5</f>
        <v>0</v>
      </c>
      <c r="N17" s="190" t="n">
        <f aca="false">I17-I16</f>
        <v>0</v>
      </c>
      <c r="O17" s="191"/>
      <c r="P17" s="191"/>
      <c r="Q17" s="192" t="n">
        <f aca="false">IFERROR(O17-C17,"")</f>
        <v>0</v>
      </c>
      <c r="R17" s="192" t="n">
        <f aca="false">IFERROR(P17-I17,"")</f>
        <v>0</v>
      </c>
      <c r="S17" s="193"/>
    </row>
    <row r="18" customFormat="false" ht="15" hidden="false" customHeight="true" outlineLevel="0" collapsed="false">
      <c r="A18" s="194" t="n">
        <v>10</v>
      </c>
      <c r="B18" s="195" t="n">
        <f aca="false">DATE(2026,3,13)+7*(10-1)</f>
        <v>46157</v>
      </c>
      <c r="C18" s="196" t="n">
        <f aca="false">C17+IF(UPPER($Q$5)="ON",(C17*$C$5*(1+$G$5/52)^9*$S$5)/MAX($D$5,0.01),0)</f>
        <v>0</v>
      </c>
      <c r="D18" s="197" t="n">
        <f aca="false">D17</f>
        <v>0</v>
      </c>
      <c r="E18" s="198" t="n">
        <f aca="false">E17*(1+$G$5/52)</f>
        <v>0</v>
      </c>
      <c r="F18" s="199" t="n">
        <f aca="false">IFERROR((C17*F17+H18*$D$5)/MAX(C18,0.001),F17)</f>
        <v>0</v>
      </c>
      <c r="G18" s="200" t="n">
        <f aca="false">C18*$D$5</f>
        <v>0</v>
      </c>
      <c r="H18" s="201" t="n">
        <f aca="false">C18-C17</f>
        <v>0</v>
      </c>
      <c r="I18" s="202" t="n">
        <f aca="false">I17+IF(UPPER($Q$5)="ON",(I17*$K$5*(1+$O$5/52)^9*$S$5)/MAX($L$5,0.01),0)</f>
        <v>0</v>
      </c>
      <c r="J18" s="203" t="n">
        <f aca="false">J17</f>
        <v>0</v>
      </c>
      <c r="K18" s="204" t="n">
        <f aca="false">K17*(1+$O$5/52)</f>
        <v>0</v>
      </c>
      <c r="L18" s="205" t="n">
        <f aca="false">IFERROR((I17*L17+N18*$L$5)/MAX(I18,0.001),L17)</f>
        <v>0</v>
      </c>
      <c r="M18" s="206" t="n">
        <f aca="false">I18*$L$5</f>
        <v>0</v>
      </c>
      <c r="N18" s="207" t="n">
        <f aca="false">I18-I17</f>
        <v>0</v>
      </c>
      <c r="O18" s="191"/>
      <c r="P18" s="191"/>
      <c r="Q18" s="208" t="n">
        <f aca="false">IFERROR(O18-C18,"")</f>
        <v>0</v>
      </c>
      <c r="R18" s="208" t="n">
        <f aca="false">IFERROR(P18-I18,"")</f>
        <v>0</v>
      </c>
      <c r="S18" s="209"/>
    </row>
    <row r="19" customFormat="false" ht="15" hidden="false" customHeight="true" outlineLevel="0" collapsed="false">
      <c r="A19" s="177" t="n">
        <v>11</v>
      </c>
      <c r="B19" s="178" t="n">
        <f aca="false">DATE(2026,3,13)+7*(11-1)</f>
        <v>46164</v>
      </c>
      <c r="C19" s="179" t="n">
        <f aca="false">C18+IF(UPPER($Q$5)="ON",(C18*$C$5*(1+$G$5/52)^10*$S$5)/MAX($D$5,0.01),0)</f>
        <v>0</v>
      </c>
      <c r="D19" s="180" t="n">
        <f aca="false">D18</f>
        <v>0</v>
      </c>
      <c r="E19" s="181" t="n">
        <f aca="false">E18*(1+$G$5/52)</f>
        <v>0</v>
      </c>
      <c r="F19" s="182" t="n">
        <f aca="false">IFERROR((C18*F18+H19*$D$5)/MAX(C19,0.001),F18)</f>
        <v>0</v>
      </c>
      <c r="G19" s="183" t="n">
        <f aca="false">C19*$D$5</f>
        <v>0</v>
      </c>
      <c r="H19" s="184" t="n">
        <f aca="false">C19-C18</f>
        <v>0</v>
      </c>
      <c r="I19" s="185" t="n">
        <f aca="false">I18+IF(UPPER($Q$5)="ON",(I18*$K$5*(1+$O$5/52)^10*$S$5)/MAX($L$5,0.01),0)</f>
        <v>0</v>
      </c>
      <c r="J19" s="186" t="n">
        <f aca="false">J18</f>
        <v>0</v>
      </c>
      <c r="K19" s="187" t="n">
        <f aca="false">K18*(1+$O$5/52)</f>
        <v>0</v>
      </c>
      <c r="L19" s="188" t="n">
        <f aca="false">IFERROR((I18*L18+N19*$L$5)/MAX(I19,0.001),L18)</f>
        <v>0</v>
      </c>
      <c r="M19" s="189" t="n">
        <f aca="false">I19*$L$5</f>
        <v>0</v>
      </c>
      <c r="N19" s="190" t="n">
        <f aca="false">I19-I18</f>
        <v>0</v>
      </c>
      <c r="O19" s="191"/>
      <c r="P19" s="191"/>
      <c r="Q19" s="192" t="n">
        <f aca="false">IFERROR(O19-C19,"")</f>
        <v>0</v>
      </c>
      <c r="R19" s="192" t="n">
        <f aca="false">IFERROR(P19-I19,"")</f>
        <v>0</v>
      </c>
      <c r="S19" s="193"/>
    </row>
    <row r="20" customFormat="false" ht="15" hidden="false" customHeight="true" outlineLevel="0" collapsed="false">
      <c r="A20" s="194" t="n">
        <v>12</v>
      </c>
      <c r="B20" s="195" t="n">
        <f aca="false">DATE(2026,3,13)+7*(12-1)</f>
        <v>46171</v>
      </c>
      <c r="C20" s="196" t="n">
        <f aca="false">C19+IF(UPPER($Q$5)="ON",(C19*$C$5*(1+$G$5/52)^11*$S$5)/MAX($D$5,0.01),0)</f>
        <v>0</v>
      </c>
      <c r="D20" s="197" t="n">
        <f aca="false">D19</f>
        <v>0</v>
      </c>
      <c r="E20" s="198" t="n">
        <f aca="false">E19*(1+$G$5/52)</f>
        <v>0</v>
      </c>
      <c r="F20" s="199" t="n">
        <f aca="false">IFERROR((C19*F19+H20*$D$5)/MAX(C20,0.001),F19)</f>
        <v>0</v>
      </c>
      <c r="G20" s="200" t="n">
        <f aca="false">C20*$D$5</f>
        <v>0</v>
      </c>
      <c r="H20" s="201" t="n">
        <f aca="false">C20-C19</f>
        <v>0</v>
      </c>
      <c r="I20" s="202" t="n">
        <f aca="false">I19+IF(UPPER($Q$5)="ON",(I19*$K$5*(1+$O$5/52)^11*$S$5)/MAX($L$5,0.01),0)</f>
        <v>0</v>
      </c>
      <c r="J20" s="203" t="n">
        <f aca="false">J19</f>
        <v>0</v>
      </c>
      <c r="K20" s="204" t="n">
        <f aca="false">K19*(1+$O$5/52)</f>
        <v>0</v>
      </c>
      <c r="L20" s="205" t="n">
        <f aca="false">IFERROR((I19*L19+N20*$L$5)/MAX(I20,0.001),L19)</f>
        <v>0</v>
      </c>
      <c r="M20" s="206" t="n">
        <f aca="false">I20*$L$5</f>
        <v>0</v>
      </c>
      <c r="N20" s="207" t="n">
        <f aca="false">I20-I19</f>
        <v>0</v>
      </c>
      <c r="O20" s="191"/>
      <c r="P20" s="191"/>
      <c r="Q20" s="208" t="n">
        <f aca="false">IFERROR(O20-C20,"")</f>
        <v>0</v>
      </c>
      <c r="R20" s="208" t="n">
        <f aca="false">IFERROR(P20-I20,"")</f>
        <v>0</v>
      </c>
      <c r="S20" s="209"/>
    </row>
    <row r="21" customFormat="false" ht="15" hidden="false" customHeight="true" outlineLevel="0" collapsed="false">
      <c r="A21" s="177" t="n">
        <v>13</v>
      </c>
      <c r="B21" s="178" t="n">
        <f aca="false">DATE(2026,3,13)+7*(13-1)</f>
        <v>46178</v>
      </c>
      <c r="C21" s="179" t="n">
        <f aca="false">C20+IF(UPPER($Q$5)="ON",(C20*$C$5*(1+$G$5/52)^12*$S$5)/MAX($D$5,0.01),0)</f>
        <v>0</v>
      </c>
      <c r="D21" s="180" t="n">
        <f aca="false">D20</f>
        <v>0</v>
      </c>
      <c r="E21" s="181" t="n">
        <f aca="false">E20*(1+$G$5/52)</f>
        <v>0</v>
      </c>
      <c r="F21" s="182" t="n">
        <f aca="false">IFERROR((C20*F20+H21*$D$5)/MAX(C21,0.001),F20)</f>
        <v>0</v>
      </c>
      <c r="G21" s="183" t="n">
        <f aca="false">C21*$D$5</f>
        <v>0</v>
      </c>
      <c r="H21" s="184" t="n">
        <f aca="false">C21-C20</f>
        <v>0</v>
      </c>
      <c r="I21" s="185" t="n">
        <f aca="false">I20+IF(UPPER($Q$5)="ON",(I20*$K$5*(1+$O$5/52)^12*$S$5)/MAX($L$5,0.01),0)</f>
        <v>0</v>
      </c>
      <c r="J21" s="186" t="n">
        <f aca="false">J20</f>
        <v>0</v>
      </c>
      <c r="K21" s="187" t="n">
        <f aca="false">K20*(1+$O$5/52)</f>
        <v>0</v>
      </c>
      <c r="L21" s="188" t="n">
        <f aca="false">IFERROR((I20*L20+N21*$L$5)/MAX(I21,0.001),L20)</f>
        <v>0</v>
      </c>
      <c r="M21" s="189" t="n">
        <f aca="false">I21*$L$5</f>
        <v>0</v>
      </c>
      <c r="N21" s="190" t="n">
        <f aca="false">I21-I20</f>
        <v>0</v>
      </c>
      <c r="O21" s="191"/>
      <c r="P21" s="191"/>
      <c r="Q21" s="192" t="n">
        <f aca="false">IFERROR(O21-C21,"")</f>
        <v>0</v>
      </c>
      <c r="R21" s="192" t="n">
        <f aca="false">IFERROR(P21-I21,"")</f>
        <v>0</v>
      </c>
      <c r="S21" s="193"/>
    </row>
    <row r="22" customFormat="false" ht="15" hidden="false" customHeight="true" outlineLevel="0" collapsed="false">
      <c r="A22" s="194" t="n">
        <v>14</v>
      </c>
      <c r="B22" s="195" t="n">
        <f aca="false">DATE(2026,3,13)+7*(14-1)</f>
        <v>46185</v>
      </c>
      <c r="C22" s="196" t="n">
        <f aca="false">C21+IF(UPPER($Q$5)="ON",(C21*$C$5*(1+$G$5/52)^13*$S$5)/MAX($D$5,0.01),0)</f>
        <v>0</v>
      </c>
      <c r="D22" s="197" t="n">
        <f aca="false">D21</f>
        <v>0</v>
      </c>
      <c r="E22" s="198" t="n">
        <f aca="false">E21*(1+$G$5/52)</f>
        <v>0</v>
      </c>
      <c r="F22" s="199" t="n">
        <f aca="false">IFERROR((C21*F21+H22*$D$5)/MAX(C22,0.001),F21)</f>
        <v>0</v>
      </c>
      <c r="G22" s="200" t="n">
        <f aca="false">C22*$D$5</f>
        <v>0</v>
      </c>
      <c r="H22" s="201" t="n">
        <f aca="false">C22-C21</f>
        <v>0</v>
      </c>
      <c r="I22" s="202" t="n">
        <f aca="false">I21+IF(UPPER($Q$5)="ON",(I21*$K$5*(1+$O$5/52)^13*$S$5)/MAX($L$5,0.01),0)</f>
        <v>0</v>
      </c>
      <c r="J22" s="203" t="n">
        <f aca="false">J21</f>
        <v>0</v>
      </c>
      <c r="K22" s="204" t="n">
        <f aca="false">K21*(1+$O$5/52)</f>
        <v>0</v>
      </c>
      <c r="L22" s="205" t="n">
        <f aca="false">IFERROR((I21*L21+N22*$L$5)/MAX(I22,0.001),L21)</f>
        <v>0</v>
      </c>
      <c r="M22" s="206" t="n">
        <f aca="false">I22*$L$5</f>
        <v>0</v>
      </c>
      <c r="N22" s="207" t="n">
        <f aca="false">I22-I21</f>
        <v>0</v>
      </c>
      <c r="O22" s="191"/>
      <c r="P22" s="191"/>
      <c r="Q22" s="208" t="n">
        <f aca="false">IFERROR(O22-C22,"")</f>
        <v>0</v>
      </c>
      <c r="R22" s="208" t="n">
        <f aca="false">IFERROR(P22-I22,"")</f>
        <v>0</v>
      </c>
      <c r="S22" s="209"/>
    </row>
    <row r="23" customFormat="false" ht="15" hidden="false" customHeight="true" outlineLevel="0" collapsed="false">
      <c r="A23" s="177" t="n">
        <v>15</v>
      </c>
      <c r="B23" s="178" t="n">
        <f aca="false">DATE(2026,3,13)+7*(15-1)</f>
        <v>46192</v>
      </c>
      <c r="C23" s="179" t="n">
        <f aca="false">C22+IF(UPPER($Q$5)="ON",(C22*$C$5*(1+$G$5/52)^14*$S$5)/MAX($D$5,0.01),0)</f>
        <v>0</v>
      </c>
      <c r="D23" s="180" t="n">
        <f aca="false">D22</f>
        <v>0</v>
      </c>
      <c r="E23" s="181" t="n">
        <f aca="false">E22*(1+$G$5/52)</f>
        <v>0</v>
      </c>
      <c r="F23" s="182" t="n">
        <f aca="false">IFERROR((C22*F22+H23*$D$5)/MAX(C23,0.001),F22)</f>
        <v>0</v>
      </c>
      <c r="G23" s="183" t="n">
        <f aca="false">C23*$D$5</f>
        <v>0</v>
      </c>
      <c r="H23" s="184" t="n">
        <f aca="false">C23-C22</f>
        <v>0</v>
      </c>
      <c r="I23" s="185" t="n">
        <f aca="false">I22+IF(UPPER($Q$5)="ON",(I22*$K$5*(1+$O$5/52)^14*$S$5)/MAX($L$5,0.01),0)</f>
        <v>0</v>
      </c>
      <c r="J23" s="186" t="n">
        <f aca="false">J22</f>
        <v>0</v>
      </c>
      <c r="K23" s="187" t="n">
        <f aca="false">K22*(1+$O$5/52)</f>
        <v>0</v>
      </c>
      <c r="L23" s="188" t="n">
        <f aca="false">IFERROR((I22*L22+N23*$L$5)/MAX(I23,0.001),L22)</f>
        <v>0</v>
      </c>
      <c r="M23" s="189" t="n">
        <f aca="false">I23*$L$5</f>
        <v>0</v>
      </c>
      <c r="N23" s="190" t="n">
        <f aca="false">I23-I22</f>
        <v>0</v>
      </c>
      <c r="O23" s="191"/>
      <c r="P23" s="191"/>
      <c r="Q23" s="192" t="n">
        <f aca="false">IFERROR(O23-C23,"")</f>
        <v>0</v>
      </c>
      <c r="R23" s="192" t="n">
        <f aca="false">IFERROR(P23-I23,"")</f>
        <v>0</v>
      </c>
      <c r="S23" s="193"/>
    </row>
    <row r="24" customFormat="false" ht="15" hidden="false" customHeight="true" outlineLevel="0" collapsed="false">
      <c r="A24" s="194" t="n">
        <v>16</v>
      </c>
      <c r="B24" s="195" t="n">
        <f aca="false">DATE(2026,3,13)+7*(16-1)</f>
        <v>46199</v>
      </c>
      <c r="C24" s="196" t="n">
        <f aca="false">C23+IF(UPPER($Q$5)="ON",(C23*$C$5*(1+$G$5/52)^15*$S$5)/MAX($D$5,0.01),0)</f>
        <v>0</v>
      </c>
      <c r="D24" s="197" t="n">
        <f aca="false">D23</f>
        <v>0</v>
      </c>
      <c r="E24" s="198" t="n">
        <f aca="false">E23*(1+$G$5/52)</f>
        <v>0</v>
      </c>
      <c r="F24" s="199" t="n">
        <f aca="false">IFERROR((C23*F23+H24*$D$5)/MAX(C24,0.001),F23)</f>
        <v>0</v>
      </c>
      <c r="G24" s="200" t="n">
        <f aca="false">C24*$D$5</f>
        <v>0</v>
      </c>
      <c r="H24" s="201" t="n">
        <f aca="false">C24-C23</f>
        <v>0</v>
      </c>
      <c r="I24" s="202" t="n">
        <f aca="false">I23+IF(UPPER($Q$5)="ON",(I23*$K$5*(1+$O$5/52)^15*$S$5)/MAX($L$5,0.01),0)</f>
        <v>0</v>
      </c>
      <c r="J24" s="203" t="n">
        <f aca="false">J23</f>
        <v>0</v>
      </c>
      <c r="K24" s="204" t="n">
        <f aca="false">K23*(1+$O$5/52)</f>
        <v>0</v>
      </c>
      <c r="L24" s="205" t="n">
        <f aca="false">IFERROR((I23*L23+N24*$L$5)/MAX(I24,0.001),L23)</f>
        <v>0</v>
      </c>
      <c r="M24" s="206" t="n">
        <f aca="false">I24*$L$5</f>
        <v>0</v>
      </c>
      <c r="N24" s="207" t="n">
        <f aca="false">I24-I23</f>
        <v>0</v>
      </c>
      <c r="O24" s="191"/>
      <c r="P24" s="191"/>
      <c r="Q24" s="208" t="n">
        <f aca="false">IFERROR(O24-C24,"")</f>
        <v>0</v>
      </c>
      <c r="R24" s="208" t="n">
        <f aca="false">IFERROR(P24-I24,"")</f>
        <v>0</v>
      </c>
      <c r="S24" s="209"/>
    </row>
    <row r="25" customFormat="false" ht="15" hidden="false" customHeight="true" outlineLevel="0" collapsed="false">
      <c r="A25" s="177" t="n">
        <v>17</v>
      </c>
      <c r="B25" s="178" t="n">
        <f aca="false">DATE(2026,3,13)+7*(17-1)</f>
        <v>46206</v>
      </c>
      <c r="C25" s="179" t="n">
        <f aca="false">C24+IF(UPPER($Q$5)="ON",(C24*$C$5*(1+$G$5/52)^16*$S$5)/MAX($D$5,0.01),0)</f>
        <v>0</v>
      </c>
      <c r="D25" s="180" t="n">
        <f aca="false">D24</f>
        <v>0</v>
      </c>
      <c r="E25" s="181" t="n">
        <f aca="false">E24*(1+$G$5/52)</f>
        <v>0</v>
      </c>
      <c r="F25" s="182" t="n">
        <f aca="false">IFERROR((C24*F24+H25*$D$5)/MAX(C25,0.001),F24)</f>
        <v>0</v>
      </c>
      <c r="G25" s="183" t="n">
        <f aca="false">C25*$D$5</f>
        <v>0</v>
      </c>
      <c r="H25" s="184" t="n">
        <f aca="false">C25-C24</f>
        <v>0</v>
      </c>
      <c r="I25" s="185" t="n">
        <f aca="false">I24+IF(UPPER($Q$5)="ON",(I24*$K$5*(1+$O$5/52)^16*$S$5)/MAX($L$5,0.01),0)</f>
        <v>0</v>
      </c>
      <c r="J25" s="186" t="n">
        <f aca="false">J24</f>
        <v>0</v>
      </c>
      <c r="K25" s="187" t="n">
        <f aca="false">K24*(1+$O$5/52)</f>
        <v>0</v>
      </c>
      <c r="L25" s="188" t="n">
        <f aca="false">IFERROR((I24*L24+N25*$L$5)/MAX(I25,0.001),L24)</f>
        <v>0</v>
      </c>
      <c r="M25" s="189" t="n">
        <f aca="false">I25*$L$5</f>
        <v>0</v>
      </c>
      <c r="N25" s="190" t="n">
        <f aca="false">I25-I24</f>
        <v>0</v>
      </c>
      <c r="O25" s="191"/>
      <c r="P25" s="191"/>
      <c r="Q25" s="192" t="n">
        <f aca="false">IFERROR(O25-C25,"")</f>
        <v>0</v>
      </c>
      <c r="R25" s="192" t="n">
        <f aca="false">IFERROR(P25-I25,"")</f>
        <v>0</v>
      </c>
      <c r="S25" s="193"/>
    </row>
    <row r="26" customFormat="false" ht="15" hidden="false" customHeight="true" outlineLevel="0" collapsed="false">
      <c r="A26" s="194" t="n">
        <v>18</v>
      </c>
      <c r="B26" s="195" t="n">
        <f aca="false">DATE(2026,3,13)+7*(18-1)</f>
        <v>46213</v>
      </c>
      <c r="C26" s="196" t="n">
        <f aca="false">C25+IF(UPPER($Q$5)="ON",(C25*$C$5*(1+$G$5/52)^17*$S$5)/MAX($D$5,0.01),0)</f>
        <v>0</v>
      </c>
      <c r="D26" s="197" t="n">
        <f aca="false">D25</f>
        <v>0</v>
      </c>
      <c r="E26" s="198" t="n">
        <f aca="false">E25*(1+$G$5/52)</f>
        <v>0</v>
      </c>
      <c r="F26" s="199" t="n">
        <f aca="false">IFERROR((C25*F25+H26*$D$5)/MAX(C26,0.001),F25)</f>
        <v>0</v>
      </c>
      <c r="G26" s="200" t="n">
        <f aca="false">C26*$D$5</f>
        <v>0</v>
      </c>
      <c r="H26" s="201" t="n">
        <f aca="false">C26-C25</f>
        <v>0</v>
      </c>
      <c r="I26" s="202" t="n">
        <f aca="false">I25+IF(UPPER($Q$5)="ON",(I25*$K$5*(1+$O$5/52)^17*$S$5)/MAX($L$5,0.01),0)</f>
        <v>0</v>
      </c>
      <c r="J26" s="203" t="n">
        <f aca="false">J25</f>
        <v>0</v>
      </c>
      <c r="K26" s="204" t="n">
        <f aca="false">K25*(1+$O$5/52)</f>
        <v>0</v>
      </c>
      <c r="L26" s="205" t="n">
        <f aca="false">IFERROR((I25*L25+N26*$L$5)/MAX(I26,0.001),L25)</f>
        <v>0</v>
      </c>
      <c r="M26" s="206" t="n">
        <f aca="false">I26*$L$5</f>
        <v>0</v>
      </c>
      <c r="N26" s="207" t="n">
        <f aca="false">I26-I25</f>
        <v>0</v>
      </c>
      <c r="O26" s="191"/>
      <c r="P26" s="191"/>
      <c r="Q26" s="208" t="n">
        <f aca="false">IFERROR(O26-C26,"")</f>
        <v>0</v>
      </c>
      <c r="R26" s="208" t="n">
        <f aca="false">IFERROR(P26-I26,"")</f>
        <v>0</v>
      </c>
      <c r="S26" s="209"/>
    </row>
    <row r="27" customFormat="false" ht="15" hidden="false" customHeight="true" outlineLevel="0" collapsed="false">
      <c r="A27" s="177" t="n">
        <v>19</v>
      </c>
      <c r="B27" s="178" t="n">
        <f aca="false">DATE(2026,3,13)+7*(19-1)</f>
        <v>46220</v>
      </c>
      <c r="C27" s="179" t="n">
        <f aca="false">C26+IF(UPPER($Q$5)="ON",(C26*$C$5*(1+$G$5/52)^18*$S$5)/MAX($D$5,0.01),0)</f>
        <v>0</v>
      </c>
      <c r="D27" s="180" t="n">
        <f aca="false">D26</f>
        <v>0</v>
      </c>
      <c r="E27" s="181" t="n">
        <f aca="false">E26*(1+$G$5/52)</f>
        <v>0</v>
      </c>
      <c r="F27" s="182" t="n">
        <f aca="false">IFERROR((C26*F26+H27*$D$5)/MAX(C27,0.001),F26)</f>
        <v>0</v>
      </c>
      <c r="G27" s="183" t="n">
        <f aca="false">C27*$D$5</f>
        <v>0</v>
      </c>
      <c r="H27" s="184" t="n">
        <f aca="false">C27-C26</f>
        <v>0</v>
      </c>
      <c r="I27" s="185" t="n">
        <f aca="false">I26+IF(UPPER($Q$5)="ON",(I26*$K$5*(1+$O$5/52)^18*$S$5)/MAX($L$5,0.01),0)</f>
        <v>0</v>
      </c>
      <c r="J27" s="186" t="n">
        <f aca="false">J26</f>
        <v>0</v>
      </c>
      <c r="K27" s="187" t="n">
        <f aca="false">K26*(1+$O$5/52)</f>
        <v>0</v>
      </c>
      <c r="L27" s="188" t="n">
        <f aca="false">IFERROR((I26*L26+N27*$L$5)/MAX(I27,0.001),L26)</f>
        <v>0</v>
      </c>
      <c r="M27" s="189" t="n">
        <f aca="false">I27*$L$5</f>
        <v>0</v>
      </c>
      <c r="N27" s="190" t="n">
        <f aca="false">I27-I26</f>
        <v>0</v>
      </c>
      <c r="O27" s="191"/>
      <c r="P27" s="191"/>
      <c r="Q27" s="192" t="n">
        <f aca="false">IFERROR(O27-C27,"")</f>
        <v>0</v>
      </c>
      <c r="R27" s="192" t="n">
        <f aca="false">IFERROR(P27-I27,"")</f>
        <v>0</v>
      </c>
      <c r="S27" s="193"/>
    </row>
    <row r="28" customFormat="false" ht="15" hidden="false" customHeight="true" outlineLevel="0" collapsed="false">
      <c r="A28" s="194" t="n">
        <v>20</v>
      </c>
      <c r="B28" s="195" t="n">
        <f aca="false">DATE(2026,3,13)+7*(20-1)</f>
        <v>46227</v>
      </c>
      <c r="C28" s="196" t="n">
        <f aca="false">C27+IF(UPPER($Q$5)="ON",(C27*$C$5*(1+$G$5/52)^19*$S$5)/MAX($D$5,0.01),0)</f>
        <v>0</v>
      </c>
      <c r="D28" s="197" t="n">
        <f aca="false">D27</f>
        <v>0</v>
      </c>
      <c r="E28" s="198" t="n">
        <f aca="false">E27*(1+$G$5/52)</f>
        <v>0</v>
      </c>
      <c r="F28" s="199" t="n">
        <f aca="false">IFERROR((C27*F27+H28*$D$5)/MAX(C28,0.001),F27)</f>
        <v>0</v>
      </c>
      <c r="G28" s="200" t="n">
        <f aca="false">C28*$D$5</f>
        <v>0</v>
      </c>
      <c r="H28" s="201" t="n">
        <f aca="false">C28-C27</f>
        <v>0</v>
      </c>
      <c r="I28" s="202" t="n">
        <f aca="false">I27+IF(UPPER($Q$5)="ON",(I27*$K$5*(1+$O$5/52)^19*$S$5)/MAX($L$5,0.01),0)</f>
        <v>0</v>
      </c>
      <c r="J28" s="203" t="n">
        <f aca="false">J27</f>
        <v>0</v>
      </c>
      <c r="K28" s="204" t="n">
        <f aca="false">K27*(1+$O$5/52)</f>
        <v>0</v>
      </c>
      <c r="L28" s="205" t="n">
        <f aca="false">IFERROR((I27*L27+N28*$L$5)/MAX(I28,0.001),L27)</f>
        <v>0</v>
      </c>
      <c r="M28" s="206" t="n">
        <f aca="false">I28*$L$5</f>
        <v>0</v>
      </c>
      <c r="N28" s="207" t="n">
        <f aca="false">I28-I27</f>
        <v>0</v>
      </c>
      <c r="O28" s="191"/>
      <c r="P28" s="191"/>
      <c r="Q28" s="208" t="n">
        <f aca="false">IFERROR(O28-C28,"")</f>
        <v>0</v>
      </c>
      <c r="R28" s="208" t="n">
        <f aca="false">IFERROR(P28-I28,"")</f>
        <v>0</v>
      </c>
      <c r="S28" s="209"/>
    </row>
    <row r="29" customFormat="false" ht="15" hidden="false" customHeight="true" outlineLevel="0" collapsed="false">
      <c r="A29" s="177" t="n">
        <v>21</v>
      </c>
      <c r="B29" s="178" t="n">
        <f aca="false">DATE(2026,3,13)+7*(21-1)</f>
        <v>46234</v>
      </c>
      <c r="C29" s="179" t="n">
        <f aca="false">C28+IF(UPPER($Q$5)="ON",(C28*$C$5*(1+$G$5/52)^20*$S$5)/MAX($D$5,0.01),0)</f>
        <v>0</v>
      </c>
      <c r="D29" s="180" t="n">
        <f aca="false">D28</f>
        <v>0</v>
      </c>
      <c r="E29" s="181" t="n">
        <f aca="false">E28*(1+$G$5/52)</f>
        <v>0</v>
      </c>
      <c r="F29" s="182" t="n">
        <f aca="false">IFERROR((C28*F28+H29*$D$5)/MAX(C29,0.001),F28)</f>
        <v>0</v>
      </c>
      <c r="G29" s="183" t="n">
        <f aca="false">C29*$D$5</f>
        <v>0</v>
      </c>
      <c r="H29" s="184" t="n">
        <f aca="false">C29-C28</f>
        <v>0</v>
      </c>
      <c r="I29" s="185" t="n">
        <f aca="false">I28+IF(UPPER($Q$5)="ON",(I28*$K$5*(1+$O$5/52)^20*$S$5)/MAX($L$5,0.01),0)</f>
        <v>0</v>
      </c>
      <c r="J29" s="186" t="n">
        <f aca="false">J28</f>
        <v>0</v>
      </c>
      <c r="K29" s="187" t="n">
        <f aca="false">K28*(1+$O$5/52)</f>
        <v>0</v>
      </c>
      <c r="L29" s="188" t="n">
        <f aca="false">IFERROR((I28*L28+N29*$L$5)/MAX(I29,0.001),L28)</f>
        <v>0</v>
      </c>
      <c r="M29" s="189" t="n">
        <f aca="false">I29*$L$5</f>
        <v>0</v>
      </c>
      <c r="N29" s="190" t="n">
        <f aca="false">I29-I28</f>
        <v>0</v>
      </c>
      <c r="O29" s="191"/>
      <c r="P29" s="191"/>
      <c r="Q29" s="192" t="n">
        <f aca="false">IFERROR(O29-C29,"")</f>
        <v>0</v>
      </c>
      <c r="R29" s="192" t="n">
        <f aca="false">IFERROR(P29-I29,"")</f>
        <v>0</v>
      </c>
      <c r="S29" s="193"/>
    </row>
    <row r="30" customFormat="false" ht="15" hidden="false" customHeight="true" outlineLevel="0" collapsed="false">
      <c r="A30" s="194" t="n">
        <v>22</v>
      </c>
      <c r="B30" s="195" t="n">
        <f aca="false">DATE(2026,3,13)+7*(22-1)</f>
        <v>46241</v>
      </c>
      <c r="C30" s="196" t="n">
        <f aca="false">C29+IF(UPPER($Q$5)="ON",(C29*$C$5*(1+$G$5/52)^21*$S$5)/MAX($D$5,0.01),0)</f>
        <v>0</v>
      </c>
      <c r="D30" s="197" t="n">
        <f aca="false">D29</f>
        <v>0</v>
      </c>
      <c r="E30" s="198" t="n">
        <f aca="false">E29*(1+$G$5/52)</f>
        <v>0</v>
      </c>
      <c r="F30" s="199" t="n">
        <f aca="false">IFERROR((C29*F29+H30*$D$5)/MAX(C30,0.001),F29)</f>
        <v>0</v>
      </c>
      <c r="G30" s="200" t="n">
        <f aca="false">C30*$D$5</f>
        <v>0</v>
      </c>
      <c r="H30" s="201" t="n">
        <f aca="false">C30-C29</f>
        <v>0</v>
      </c>
      <c r="I30" s="202" t="n">
        <f aca="false">I29+IF(UPPER($Q$5)="ON",(I29*$K$5*(1+$O$5/52)^21*$S$5)/MAX($L$5,0.01),0)</f>
        <v>0</v>
      </c>
      <c r="J30" s="203" t="n">
        <f aca="false">J29</f>
        <v>0</v>
      </c>
      <c r="K30" s="204" t="n">
        <f aca="false">K29*(1+$O$5/52)</f>
        <v>0</v>
      </c>
      <c r="L30" s="205" t="n">
        <f aca="false">IFERROR((I29*L29+N30*$L$5)/MAX(I30,0.001),L29)</f>
        <v>0</v>
      </c>
      <c r="M30" s="206" t="n">
        <f aca="false">I30*$L$5</f>
        <v>0</v>
      </c>
      <c r="N30" s="207" t="n">
        <f aca="false">I30-I29</f>
        <v>0</v>
      </c>
      <c r="O30" s="191"/>
      <c r="P30" s="191"/>
      <c r="Q30" s="208" t="n">
        <f aca="false">IFERROR(O30-C30,"")</f>
        <v>0</v>
      </c>
      <c r="R30" s="208" t="n">
        <f aca="false">IFERROR(P30-I30,"")</f>
        <v>0</v>
      </c>
      <c r="S30" s="209"/>
    </row>
    <row r="31" customFormat="false" ht="15" hidden="false" customHeight="true" outlineLevel="0" collapsed="false">
      <c r="A31" s="177" t="n">
        <v>23</v>
      </c>
      <c r="B31" s="178" t="n">
        <f aca="false">DATE(2026,3,13)+7*(23-1)</f>
        <v>46248</v>
      </c>
      <c r="C31" s="179" t="n">
        <f aca="false">C30+IF(UPPER($Q$5)="ON",(C30*$C$5*(1+$G$5/52)^22*$S$5)/MAX($D$5,0.01),0)</f>
        <v>0</v>
      </c>
      <c r="D31" s="180" t="n">
        <f aca="false">D30</f>
        <v>0</v>
      </c>
      <c r="E31" s="181" t="n">
        <f aca="false">E30*(1+$G$5/52)</f>
        <v>0</v>
      </c>
      <c r="F31" s="182" t="n">
        <f aca="false">IFERROR((C30*F30+H31*$D$5)/MAX(C31,0.001),F30)</f>
        <v>0</v>
      </c>
      <c r="G31" s="183" t="n">
        <f aca="false">C31*$D$5</f>
        <v>0</v>
      </c>
      <c r="H31" s="184" t="n">
        <f aca="false">C31-C30</f>
        <v>0</v>
      </c>
      <c r="I31" s="185" t="n">
        <f aca="false">I30+IF(UPPER($Q$5)="ON",(I30*$K$5*(1+$O$5/52)^22*$S$5)/MAX($L$5,0.01),0)</f>
        <v>0</v>
      </c>
      <c r="J31" s="186" t="n">
        <f aca="false">J30</f>
        <v>0</v>
      </c>
      <c r="K31" s="187" t="n">
        <f aca="false">K30*(1+$O$5/52)</f>
        <v>0</v>
      </c>
      <c r="L31" s="188" t="n">
        <f aca="false">IFERROR((I30*L30+N31*$L$5)/MAX(I31,0.001),L30)</f>
        <v>0</v>
      </c>
      <c r="M31" s="189" t="n">
        <f aca="false">I31*$L$5</f>
        <v>0</v>
      </c>
      <c r="N31" s="190" t="n">
        <f aca="false">I31-I30</f>
        <v>0</v>
      </c>
      <c r="O31" s="191"/>
      <c r="P31" s="191"/>
      <c r="Q31" s="192" t="n">
        <f aca="false">IFERROR(O31-C31,"")</f>
        <v>0</v>
      </c>
      <c r="R31" s="192" t="n">
        <f aca="false">IFERROR(P31-I31,"")</f>
        <v>0</v>
      </c>
      <c r="S31" s="193"/>
    </row>
    <row r="32" customFormat="false" ht="15" hidden="false" customHeight="true" outlineLevel="0" collapsed="false">
      <c r="A32" s="194" t="n">
        <v>24</v>
      </c>
      <c r="B32" s="195" t="n">
        <f aca="false">DATE(2026,3,13)+7*(24-1)</f>
        <v>46255</v>
      </c>
      <c r="C32" s="196" t="n">
        <f aca="false">C31+IF(UPPER($Q$5)="ON",(C31*$C$5*(1+$G$5/52)^23*$S$5)/MAX($D$5,0.01),0)</f>
        <v>0</v>
      </c>
      <c r="D32" s="197" t="n">
        <f aca="false">D31</f>
        <v>0</v>
      </c>
      <c r="E32" s="198" t="n">
        <f aca="false">E31*(1+$G$5/52)</f>
        <v>0</v>
      </c>
      <c r="F32" s="199" t="n">
        <f aca="false">IFERROR((C31*F31+H32*$D$5)/MAX(C32,0.001),F31)</f>
        <v>0</v>
      </c>
      <c r="G32" s="200" t="n">
        <f aca="false">C32*$D$5</f>
        <v>0</v>
      </c>
      <c r="H32" s="201" t="n">
        <f aca="false">C32-C31</f>
        <v>0</v>
      </c>
      <c r="I32" s="202" t="n">
        <f aca="false">I31+IF(UPPER($Q$5)="ON",(I31*$K$5*(1+$O$5/52)^23*$S$5)/MAX($L$5,0.01),0)</f>
        <v>0</v>
      </c>
      <c r="J32" s="203" t="n">
        <f aca="false">J31</f>
        <v>0</v>
      </c>
      <c r="K32" s="204" t="n">
        <f aca="false">K31*(1+$O$5/52)</f>
        <v>0</v>
      </c>
      <c r="L32" s="205" t="n">
        <f aca="false">IFERROR((I31*L31+N32*$L$5)/MAX(I32,0.001),L31)</f>
        <v>0</v>
      </c>
      <c r="M32" s="206" t="n">
        <f aca="false">I32*$L$5</f>
        <v>0</v>
      </c>
      <c r="N32" s="207" t="n">
        <f aca="false">I32-I31</f>
        <v>0</v>
      </c>
      <c r="O32" s="191"/>
      <c r="P32" s="191"/>
      <c r="Q32" s="208" t="n">
        <f aca="false">IFERROR(O32-C32,"")</f>
        <v>0</v>
      </c>
      <c r="R32" s="208" t="n">
        <f aca="false">IFERROR(P32-I32,"")</f>
        <v>0</v>
      </c>
      <c r="S32" s="209"/>
    </row>
    <row r="33" customFormat="false" ht="15" hidden="false" customHeight="true" outlineLevel="0" collapsed="false">
      <c r="A33" s="177" t="n">
        <v>25</v>
      </c>
      <c r="B33" s="178" t="n">
        <f aca="false">DATE(2026,3,13)+7*(25-1)</f>
        <v>46262</v>
      </c>
      <c r="C33" s="179" t="n">
        <f aca="false">C32+IF(UPPER($Q$5)="ON",(C32*$C$5*(1+$G$5/52)^24*$S$5)/MAX($D$5,0.01),0)</f>
        <v>0</v>
      </c>
      <c r="D33" s="180" t="n">
        <f aca="false">D32</f>
        <v>0</v>
      </c>
      <c r="E33" s="181" t="n">
        <f aca="false">E32*(1+$G$5/52)</f>
        <v>0</v>
      </c>
      <c r="F33" s="182" t="n">
        <f aca="false">IFERROR((C32*F32+H33*$D$5)/MAX(C33,0.001),F32)</f>
        <v>0</v>
      </c>
      <c r="G33" s="183" t="n">
        <f aca="false">C33*$D$5</f>
        <v>0</v>
      </c>
      <c r="H33" s="184" t="n">
        <f aca="false">C33-C32</f>
        <v>0</v>
      </c>
      <c r="I33" s="185" t="n">
        <f aca="false">I32+IF(UPPER($Q$5)="ON",(I32*$K$5*(1+$O$5/52)^24*$S$5)/MAX($L$5,0.01),0)</f>
        <v>0</v>
      </c>
      <c r="J33" s="186" t="n">
        <f aca="false">J32</f>
        <v>0</v>
      </c>
      <c r="K33" s="187" t="n">
        <f aca="false">K32*(1+$O$5/52)</f>
        <v>0</v>
      </c>
      <c r="L33" s="188" t="n">
        <f aca="false">IFERROR((I32*L32+N33*$L$5)/MAX(I33,0.001),L32)</f>
        <v>0</v>
      </c>
      <c r="M33" s="189" t="n">
        <f aca="false">I33*$L$5</f>
        <v>0</v>
      </c>
      <c r="N33" s="190" t="n">
        <f aca="false">I33-I32</f>
        <v>0</v>
      </c>
      <c r="O33" s="191"/>
      <c r="P33" s="191"/>
      <c r="Q33" s="192" t="n">
        <f aca="false">IFERROR(O33-C33,"")</f>
        <v>0</v>
      </c>
      <c r="R33" s="192" t="n">
        <f aca="false">IFERROR(P33-I33,"")</f>
        <v>0</v>
      </c>
      <c r="S33" s="193"/>
    </row>
    <row r="34" customFormat="false" ht="15" hidden="false" customHeight="true" outlineLevel="0" collapsed="false">
      <c r="A34" s="194" t="n">
        <v>26</v>
      </c>
      <c r="B34" s="195" t="n">
        <f aca="false">DATE(2026,3,13)+7*(26-1)</f>
        <v>46269</v>
      </c>
      <c r="C34" s="196" t="n">
        <f aca="false">C33+IF(UPPER($Q$5)="ON",(C33*$C$5*(1+$G$5/52)^25*$S$5)/MAX($D$5,0.01),0)</f>
        <v>0</v>
      </c>
      <c r="D34" s="197" t="n">
        <f aca="false">D33</f>
        <v>0</v>
      </c>
      <c r="E34" s="198" t="n">
        <f aca="false">E33*(1+$G$5/52)</f>
        <v>0</v>
      </c>
      <c r="F34" s="199" t="n">
        <f aca="false">IFERROR((C33*F33+H34*$D$5)/MAX(C34,0.001),F33)</f>
        <v>0</v>
      </c>
      <c r="G34" s="200" t="n">
        <f aca="false">C34*$D$5</f>
        <v>0</v>
      </c>
      <c r="H34" s="201" t="n">
        <f aca="false">C34-C33</f>
        <v>0</v>
      </c>
      <c r="I34" s="202" t="n">
        <f aca="false">I33+IF(UPPER($Q$5)="ON",(I33*$K$5*(1+$O$5/52)^25*$S$5)/MAX($L$5,0.01),0)</f>
        <v>0</v>
      </c>
      <c r="J34" s="203" t="n">
        <f aca="false">J33</f>
        <v>0</v>
      </c>
      <c r="K34" s="204" t="n">
        <f aca="false">K33*(1+$O$5/52)</f>
        <v>0</v>
      </c>
      <c r="L34" s="205" t="n">
        <f aca="false">IFERROR((I33*L33+N34*$L$5)/MAX(I34,0.001),L33)</f>
        <v>0</v>
      </c>
      <c r="M34" s="206" t="n">
        <f aca="false">I34*$L$5</f>
        <v>0</v>
      </c>
      <c r="N34" s="207" t="n">
        <f aca="false">I34-I33</f>
        <v>0</v>
      </c>
      <c r="O34" s="191"/>
      <c r="P34" s="191"/>
      <c r="Q34" s="208" t="n">
        <f aca="false">IFERROR(O34-C34,"")</f>
        <v>0</v>
      </c>
      <c r="R34" s="208" t="n">
        <f aca="false">IFERROR(P34-I34,"")</f>
        <v>0</v>
      </c>
      <c r="S34" s="209"/>
    </row>
    <row r="35" customFormat="false" ht="15" hidden="false" customHeight="true" outlineLevel="0" collapsed="false">
      <c r="A35" s="177" t="n">
        <v>27</v>
      </c>
      <c r="B35" s="178" t="n">
        <f aca="false">DATE(2026,3,13)+7*(27-1)</f>
        <v>46276</v>
      </c>
      <c r="C35" s="179" t="n">
        <f aca="false">C34+IF(UPPER($Q$5)="ON",(C34*$C$5*(1+$G$5/52)^26*$S$5)/MAX($D$5,0.01),0)</f>
        <v>0</v>
      </c>
      <c r="D35" s="180" t="n">
        <f aca="false">D34</f>
        <v>0</v>
      </c>
      <c r="E35" s="181" t="n">
        <f aca="false">E34*(1+$G$5/52)</f>
        <v>0</v>
      </c>
      <c r="F35" s="182" t="n">
        <f aca="false">IFERROR((C34*F34+H35*$D$5)/MAX(C35,0.001),F34)</f>
        <v>0</v>
      </c>
      <c r="G35" s="183" t="n">
        <f aca="false">C35*$D$5</f>
        <v>0</v>
      </c>
      <c r="H35" s="184" t="n">
        <f aca="false">C35-C34</f>
        <v>0</v>
      </c>
      <c r="I35" s="185" t="n">
        <f aca="false">I34+IF(UPPER($Q$5)="ON",(I34*$K$5*(1+$O$5/52)^26*$S$5)/MAX($L$5,0.01),0)</f>
        <v>0</v>
      </c>
      <c r="J35" s="186" t="n">
        <f aca="false">J34</f>
        <v>0</v>
      </c>
      <c r="K35" s="187" t="n">
        <f aca="false">K34*(1+$O$5/52)</f>
        <v>0</v>
      </c>
      <c r="L35" s="188" t="n">
        <f aca="false">IFERROR((I34*L34+N35*$L$5)/MAX(I35,0.001),L34)</f>
        <v>0</v>
      </c>
      <c r="M35" s="189" t="n">
        <f aca="false">I35*$L$5</f>
        <v>0</v>
      </c>
      <c r="N35" s="190" t="n">
        <f aca="false">I35-I34</f>
        <v>0</v>
      </c>
      <c r="O35" s="191"/>
      <c r="P35" s="191"/>
      <c r="Q35" s="192" t="n">
        <f aca="false">IFERROR(O35-C35,"")</f>
        <v>0</v>
      </c>
      <c r="R35" s="192" t="n">
        <f aca="false">IFERROR(P35-I35,"")</f>
        <v>0</v>
      </c>
      <c r="S35" s="193"/>
    </row>
    <row r="36" customFormat="false" ht="15" hidden="false" customHeight="true" outlineLevel="0" collapsed="false">
      <c r="A36" s="194" t="n">
        <v>28</v>
      </c>
      <c r="B36" s="195" t="n">
        <f aca="false">DATE(2026,3,13)+7*(28-1)</f>
        <v>46283</v>
      </c>
      <c r="C36" s="196" t="n">
        <f aca="false">C35+IF(UPPER($Q$5)="ON",(C35*$C$5*(1+$G$5/52)^27*$S$5)/MAX($D$5,0.01),0)</f>
        <v>0</v>
      </c>
      <c r="D36" s="197" t="n">
        <f aca="false">D35</f>
        <v>0</v>
      </c>
      <c r="E36" s="198" t="n">
        <f aca="false">E35*(1+$G$5/52)</f>
        <v>0</v>
      </c>
      <c r="F36" s="199" t="n">
        <f aca="false">IFERROR((C35*F35+H36*$D$5)/MAX(C36,0.001),F35)</f>
        <v>0</v>
      </c>
      <c r="G36" s="200" t="n">
        <f aca="false">C36*$D$5</f>
        <v>0</v>
      </c>
      <c r="H36" s="201" t="n">
        <f aca="false">C36-C35</f>
        <v>0</v>
      </c>
      <c r="I36" s="202" t="n">
        <f aca="false">I35+IF(UPPER($Q$5)="ON",(I35*$K$5*(1+$O$5/52)^27*$S$5)/MAX($L$5,0.01),0)</f>
        <v>0</v>
      </c>
      <c r="J36" s="203" t="n">
        <f aca="false">J35</f>
        <v>0</v>
      </c>
      <c r="K36" s="204" t="n">
        <f aca="false">K35*(1+$O$5/52)</f>
        <v>0</v>
      </c>
      <c r="L36" s="205" t="n">
        <f aca="false">IFERROR((I35*L35+N36*$L$5)/MAX(I36,0.001),L35)</f>
        <v>0</v>
      </c>
      <c r="M36" s="206" t="n">
        <f aca="false">I36*$L$5</f>
        <v>0</v>
      </c>
      <c r="N36" s="207" t="n">
        <f aca="false">I36-I35</f>
        <v>0</v>
      </c>
      <c r="O36" s="191"/>
      <c r="P36" s="191"/>
      <c r="Q36" s="208" t="n">
        <f aca="false">IFERROR(O36-C36,"")</f>
        <v>0</v>
      </c>
      <c r="R36" s="208" t="n">
        <f aca="false">IFERROR(P36-I36,"")</f>
        <v>0</v>
      </c>
      <c r="S36" s="209"/>
    </row>
    <row r="37" customFormat="false" ht="15" hidden="false" customHeight="true" outlineLevel="0" collapsed="false">
      <c r="A37" s="177" t="n">
        <v>29</v>
      </c>
      <c r="B37" s="178" t="n">
        <f aca="false">DATE(2026,3,13)+7*(29-1)</f>
        <v>46290</v>
      </c>
      <c r="C37" s="179" t="n">
        <f aca="false">C36+IF(UPPER($Q$5)="ON",(C36*$C$5*(1+$G$5/52)^28*$S$5)/MAX($D$5,0.01),0)</f>
        <v>0</v>
      </c>
      <c r="D37" s="180" t="n">
        <f aca="false">D36</f>
        <v>0</v>
      </c>
      <c r="E37" s="181" t="n">
        <f aca="false">E36*(1+$G$5/52)</f>
        <v>0</v>
      </c>
      <c r="F37" s="182" t="n">
        <f aca="false">IFERROR((C36*F36+H37*$D$5)/MAX(C37,0.001),F36)</f>
        <v>0</v>
      </c>
      <c r="G37" s="183" t="n">
        <f aca="false">C37*$D$5</f>
        <v>0</v>
      </c>
      <c r="H37" s="184" t="n">
        <f aca="false">C37-C36</f>
        <v>0</v>
      </c>
      <c r="I37" s="185" t="n">
        <f aca="false">I36+IF(UPPER($Q$5)="ON",(I36*$K$5*(1+$O$5/52)^28*$S$5)/MAX($L$5,0.01),0)</f>
        <v>0</v>
      </c>
      <c r="J37" s="186" t="n">
        <f aca="false">J36</f>
        <v>0</v>
      </c>
      <c r="K37" s="187" t="n">
        <f aca="false">K36*(1+$O$5/52)</f>
        <v>0</v>
      </c>
      <c r="L37" s="188" t="n">
        <f aca="false">IFERROR((I36*L36+N37*$L$5)/MAX(I37,0.001),L36)</f>
        <v>0</v>
      </c>
      <c r="M37" s="189" t="n">
        <f aca="false">I37*$L$5</f>
        <v>0</v>
      </c>
      <c r="N37" s="190" t="n">
        <f aca="false">I37-I36</f>
        <v>0</v>
      </c>
      <c r="O37" s="191"/>
      <c r="P37" s="191"/>
      <c r="Q37" s="192" t="n">
        <f aca="false">IFERROR(O37-C37,"")</f>
        <v>0</v>
      </c>
      <c r="R37" s="192" t="n">
        <f aca="false">IFERROR(P37-I37,"")</f>
        <v>0</v>
      </c>
      <c r="S37" s="193"/>
    </row>
    <row r="38" customFormat="false" ht="15" hidden="false" customHeight="true" outlineLevel="0" collapsed="false">
      <c r="A38" s="194" t="n">
        <v>30</v>
      </c>
      <c r="B38" s="195" t="n">
        <f aca="false">DATE(2026,3,13)+7*(30-1)</f>
        <v>46297</v>
      </c>
      <c r="C38" s="196" t="n">
        <f aca="false">C37+IF(UPPER($Q$5)="ON",(C37*$C$5*(1+$G$5/52)^29*$S$5)/MAX($D$5,0.01),0)</f>
        <v>0</v>
      </c>
      <c r="D38" s="197" t="n">
        <f aca="false">D37</f>
        <v>0</v>
      </c>
      <c r="E38" s="198" t="n">
        <f aca="false">E37*(1+$G$5/52)</f>
        <v>0</v>
      </c>
      <c r="F38" s="199" t="n">
        <f aca="false">IFERROR((C37*F37+H38*$D$5)/MAX(C38,0.001),F37)</f>
        <v>0</v>
      </c>
      <c r="G38" s="200" t="n">
        <f aca="false">C38*$D$5</f>
        <v>0</v>
      </c>
      <c r="H38" s="201" t="n">
        <f aca="false">C38-C37</f>
        <v>0</v>
      </c>
      <c r="I38" s="202" t="n">
        <f aca="false">I37+IF(UPPER($Q$5)="ON",(I37*$K$5*(1+$O$5/52)^29*$S$5)/MAX($L$5,0.01),0)</f>
        <v>0</v>
      </c>
      <c r="J38" s="203" t="n">
        <f aca="false">J37</f>
        <v>0</v>
      </c>
      <c r="K38" s="204" t="n">
        <f aca="false">K37*(1+$O$5/52)</f>
        <v>0</v>
      </c>
      <c r="L38" s="205" t="n">
        <f aca="false">IFERROR((I37*L37+N38*$L$5)/MAX(I38,0.001),L37)</f>
        <v>0</v>
      </c>
      <c r="M38" s="206" t="n">
        <f aca="false">I38*$L$5</f>
        <v>0</v>
      </c>
      <c r="N38" s="207" t="n">
        <f aca="false">I38-I37</f>
        <v>0</v>
      </c>
      <c r="O38" s="191"/>
      <c r="P38" s="191"/>
      <c r="Q38" s="208" t="n">
        <f aca="false">IFERROR(O38-C38,"")</f>
        <v>0</v>
      </c>
      <c r="R38" s="208" t="n">
        <f aca="false">IFERROR(P38-I38,"")</f>
        <v>0</v>
      </c>
      <c r="S38" s="209"/>
    </row>
    <row r="39" customFormat="false" ht="15" hidden="false" customHeight="true" outlineLevel="0" collapsed="false">
      <c r="A39" s="177" t="n">
        <v>31</v>
      </c>
      <c r="B39" s="178" t="n">
        <f aca="false">DATE(2026,3,13)+7*(31-1)</f>
        <v>46304</v>
      </c>
      <c r="C39" s="179" t="n">
        <f aca="false">C38+IF(UPPER($Q$5)="ON",(C38*$C$5*(1+$G$5/52)^30*$S$5)/MAX($D$5,0.01),0)</f>
        <v>0</v>
      </c>
      <c r="D39" s="180" t="n">
        <f aca="false">D38</f>
        <v>0</v>
      </c>
      <c r="E39" s="181" t="n">
        <f aca="false">E38*(1+$G$5/52)</f>
        <v>0</v>
      </c>
      <c r="F39" s="182" t="n">
        <f aca="false">IFERROR((C38*F38+H39*$D$5)/MAX(C39,0.001),F38)</f>
        <v>0</v>
      </c>
      <c r="G39" s="183" t="n">
        <f aca="false">C39*$D$5</f>
        <v>0</v>
      </c>
      <c r="H39" s="184" t="n">
        <f aca="false">C39-C38</f>
        <v>0</v>
      </c>
      <c r="I39" s="185" t="n">
        <f aca="false">I38+IF(UPPER($Q$5)="ON",(I38*$K$5*(1+$O$5/52)^30*$S$5)/MAX($L$5,0.01),0)</f>
        <v>0</v>
      </c>
      <c r="J39" s="186" t="n">
        <f aca="false">J38</f>
        <v>0</v>
      </c>
      <c r="K39" s="187" t="n">
        <f aca="false">K38*(1+$O$5/52)</f>
        <v>0</v>
      </c>
      <c r="L39" s="188" t="n">
        <f aca="false">IFERROR((I38*L38+N39*$L$5)/MAX(I39,0.001),L38)</f>
        <v>0</v>
      </c>
      <c r="M39" s="189" t="n">
        <f aca="false">I39*$L$5</f>
        <v>0</v>
      </c>
      <c r="N39" s="190" t="n">
        <f aca="false">I39-I38</f>
        <v>0</v>
      </c>
      <c r="O39" s="191"/>
      <c r="P39" s="191"/>
      <c r="Q39" s="192" t="n">
        <f aca="false">IFERROR(O39-C39,"")</f>
        <v>0</v>
      </c>
      <c r="R39" s="192" t="n">
        <f aca="false">IFERROR(P39-I39,"")</f>
        <v>0</v>
      </c>
      <c r="S39" s="193"/>
    </row>
    <row r="40" customFormat="false" ht="15" hidden="false" customHeight="true" outlineLevel="0" collapsed="false">
      <c r="A40" s="194" t="n">
        <v>32</v>
      </c>
      <c r="B40" s="195" t="n">
        <f aca="false">DATE(2026,3,13)+7*(32-1)</f>
        <v>46311</v>
      </c>
      <c r="C40" s="196" t="n">
        <f aca="false">C39+IF(UPPER($Q$5)="ON",(C39*$C$5*(1+$G$5/52)^31*$S$5)/MAX($D$5,0.01),0)</f>
        <v>0</v>
      </c>
      <c r="D40" s="197" t="n">
        <f aca="false">D39</f>
        <v>0</v>
      </c>
      <c r="E40" s="198" t="n">
        <f aca="false">E39*(1+$G$5/52)</f>
        <v>0</v>
      </c>
      <c r="F40" s="199" t="n">
        <f aca="false">IFERROR((C39*F39+H40*$D$5)/MAX(C40,0.001),F39)</f>
        <v>0</v>
      </c>
      <c r="G40" s="200" t="n">
        <f aca="false">C40*$D$5</f>
        <v>0</v>
      </c>
      <c r="H40" s="201" t="n">
        <f aca="false">C40-C39</f>
        <v>0</v>
      </c>
      <c r="I40" s="202" t="n">
        <f aca="false">I39+IF(UPPER($Q$5)="ON",(I39*$K$5*(1+$O$5/52)^31*$S$5)/MAX($L$5,0.01),0)</f>
        <v>0</v>
      </c>
      <c r="J40" s="203" t="n">
        <f aca="false">J39</f>
        <v>0</v>
      </c>
      <c r="K40" s="204" t="n">
        <f aca="false">K39*(1+$O$5/52)</f>
        <v>0</v>
      </c>
      <c r="L40" s="205" t="n">
        <f aca="false">IFERROR((I39*L39+N40*$L$5)/MAX(I40,0.001),L39)</f>
        <v>0</v>
      </c>
      <c r="M40" s="206" t="n">
        <f aca="false">I40*$L$5</f>
        <v>0</v>
      </c>
      <c r="N40" s="207" t="n">
        <f aca="false">I40-I39</f>
        <v>0</v>
      </c>
      <c r="O40" s="191"/>
      <c r="P40" s="191"/>
      <c r="Q40" s="208" t="n">
        <f aca="false">IFERROR(O40-C40,"")</f>
        <v>0</v>
      </c>
      <c r="R40" s="208" t="n">
        <f aca="false">IFERROR(P40-I40,"")</f>
        <v>0</v>
      </c>
      <c r="S40" s="209"/>
    </row>
    <row r="41" customFormat="false" ht="15" hidden="false" customHeight="true" outlineLevel="0" collapsed="false">
      <c r="A41" s="177" t="n">
        <v>33</v>
      </c>
      <c r="B41" s="178" t="n">
        <f aca="false">DATE(2026,3,13)+7*(33-1)</f>
        <v>46318</v>
      </c>
      <c r="C41" s="179" t="n">
        <f aca="false">C40+IF(UPPER($Q$5)="ON",(C40*$C$5*(1+$G$5/52)^32*$S$5)/MAX($D$5,0.01),0)</f>
        <v>0</v>
      </c>
      <c r="D41" s="180" t="n">
        <f aca="false">D40</f>
        <v>0</v>
      </c>
      <c r="E41" s="181" t="n">
        <f aca="false">E40*(1+$G$5/52)</f>
        <v>0</v>
      </c>
      <c r="F41" s="182" t="n">
        <f aca="false">IFERROR((C40*F40+H41*$D$5)/MAX(C41,0.001),F40)</f>
        <v>0</v>
      </c>
      <c r="G41" s="183" t="n">
        <f aca="false">C41*$D$5</f>
        <v>0</v>
      </c>
      <c r="H41" s="184" t="n">
        <f aca="false">C41-C40</f>
        <v>0</v>
      </c>
      <c r="I41" s="185" t="n">
        <f aca="false">I40+IF(UPPER($Q$5)="ON",(I40*$K$5*(1+$O$5/52)^32*$S$5)/MAX($L$5,0.01),0)</f>
        <v>0</v>
      </c>
      <c r="J41" s="186" t="n">
        <f aca="false">J40</f>
        <v>0</v>
      </c>
      <c r="K41" s="187" t="n">
        <f aca="false">K40*(1+$O$5/52)</f>
        <v>0</v>
      </c>
      <c r="L41" s="188" t="n">
        <f aca="false">IFERROR((I40*L40+N41*$L$5)/MAX(I41,0.001),L40)</f>
        <v>0</v>
      </c>
      <c r="M41" s="189" t="n">
        <f aca="false">I41*$L$5</f>
        <v>0</v>
      </c>
      <c r="N41" s="190" t="n">
        <f aca="false">I41-I40</f>
        <v>0</v>
      </c>
      <c r="O41" s="191"/>
      <c r="P41" s="191"/>
      <c r="Q41" s="192" t="n">
        <f aca="false">IFERROR(O41-C41,"")</f>
        <v>0</v>
      </c>
      <c r="R41" s="192" t="n">
        <f aca="false">IFERROR(P41-I41,"")</f>
        <v>0</v>
      </c>
      <c r="S41" s="193"/>
    </row>
    <row r="42" customFormat="false" ht="15" hidden="false" customHeight="true" outlineLevel="0" collapsed="false">
      <c r="A42" s="194" t="n">
        <v>34</v>
      </c>
      <c r="B42" s="195" t="n">
        <f aca="false">DATE(2026,3,13)+7*(34-1)</f>
        <v>46325</v>
      </c>
      <c r="C42" s="196" t="n">
        <f aca="false">C41+IF(UPPER($Q$5)="ON",(C41*$C$5*(1+$G$5/52)^33*$S$5)/MAX($D$5,0.01),0)</f>
        <v>0</v>
      </c>
      <c r="D42" s="197" t="n">
        <f aca="false">D41</f>
        <v>0</v>
      </c>
      <c r="E42" s="198" t="n">
        <f aca="false">E41*(1+$G$5/52)</f>
        <v>0</v>
      </c>
      <c r="F42" s="199" t="n">
        <f aca="false">IFERROR((C41*F41+H42*$D$5)/MAX(C42,0.001),F41)</f>
        <v>0</v>
      </c>
      <c r="G42" s="200" t="n">
        <f aca="false">C42*$D$5</f>
        <v>0</v>
      </c>
      <c r="H42" s="201" t="n">
        <f aca="false">C42-C41</f>
        <v>0</v>
      </c>
      <c r="I42" s="202" t="n">
        <f aca="false">I41+IF(UPPER($Q$5)="ON",(I41*$K$5*(1+$O$5/52)^33*$S$5)/MAX($L$5,0.01),0)</f>
        <v>0</v>
      </c>
      <c r="J42" s="203" t="n">
        <f aca="false">J41</f>
        <v>0</v>
      </c>
      <c r="K42" s="204" t="n">
        <f aca="false">K41*(1+$O$5/52)</f>
        <v>0</v>
      </c>
      <c r="L42" s="205" t="n">
        <f aca="false">IFERROR((I41*L41+N42*$L$5)/MAX(I42,0.001),L41)</f>
        <v>0</v>
      </c>
      <c r="M42" s="206" t="n">
        <f aca="false">I42*$L$5</f>
        <v>0</v>
      </c>
      <c r="N42" s="207" t="n">
        <f aca="false">I42-I41</f>
        <v>0</v>
      </c>
      <c r="O42" s="191"/>
      <c r="P42" s="191"/>
      <c r="Q42" s="208" t="n">
        <f aca="false">IFERROR(O42-C42,"")</f>
        <v>0</v>
      </c>
      <c r="R42" s="208" t="n">
        <f aca="false">IFERROR(P42-I42,"")</f>
        <v>0</v>
      </c>
      <c r="S42" s="209"/>
    </row>
    <row r="43" customFormat="false" ht="15" hidden="false" customHeight="true" outlineLevel="0" collapsed="false">
      <c r="A43" s="177" t="n">
        <v>35</v>
      </c>
      <c r="B43" s="178" t="n">
        <f aca="false">DATE(2026,3,13)+7*(35-1)</f>
        <v>46332</v>
      </c>
      <c r="C43" s="179" t="n">
        <f aca="false">C42+IF(UPPER($Q$5)="ON",(C42*$C$5*(1+$G$5/52)^34*$S$5)/MAX($D$5,0.01),0)</f>
        <v>0</v>
      </c>
      <c r="D43" s="180" t="n">
        <f aca="false">D42</f>
        <v>0</v>
      </c>
      <c r="E43" s="181" t="n">
        <f aca="false">E42*(1+$G$5/52)</f>
        <v>0</v>
      </c>
      <c r="F43" s="182" t="n">
        <f aca="false">IFERROR((C42*F42+H43*$D$5)/MAX(C43,0.001),F42)</f>
        <v>0</v>
      </c>
      <c r="G43" s="183" t="n">
        <f aca="false">C43*$D$5</f>
        <v>0</v>
      </c>
      <c r="H43" s="184" t="n">
        <f aca="false">C43-C42</f>
        <v>0</v>
      </c>
      <c r="I43" s="185" t="n">
        <f aca="false">I42+IF(UPPER($Q$5)="ON",(I42*$K$5*(1+$O$5/52)^34*$S$5)/MAX($L$5,0.01),0)</f>
        <v>0</v>
      </c>
      <c r="J43" s="186" t="n">
        <f aca="false">J42</f>
        <v>0</v>
      </c>
      <c r="K43" s="187" t="n">
        <f aca="false">K42*(1+$O$5/52)</f>
        <v>0</v>
      </c>
      <c r="L43" s="188" t="n">
        <f aca="false">IFERROR((I42*L42+N43*$L$5)/MAX(I43,0.001),L42)</f>
        <v>0</v>
      </c>
      <c r="M43" s="189" t="n">
        <f aca="false">I43*$L$5</f>
        <v>0</v>
      </c>
      <c r="N43" s="190" t="n">
        <f aca="false">I43-I42</f>
        <v>0</v>
      </c>
      <c r="O43" s="191"/>
      <c r="P43" s="191"/>
      <c r="Q43" s="192" t="n">
        <f aca="false">IFERROR(O43-C43,"")</f>
        <v>0</v>
      </c>
      <c r="R43" s="192" t="n">
        <f aca="false">IFERROR(P43-I43,"")</f>
        <v>0</v>
      </c>
      <c r="S43" s="193"/>
    </row>
    <row r="44" customFormat="false" ht="15" hidden="false" customHeight="true" outlineLevel="0" collapsed="false">
      <c r="A44" s="194" t="n">
        <v>36</v>
      </c>
      <c r="B44" s="195" t="n">
        <f aca="false">DATE(2026,3,13)+7*(36-1)</f>
        <v>46339</v>
      </c>
      <c r="C44" s="196" t="n">
        <f aca="false">C43+IF(UPPER($Q$5)="ON",(C43*$C$5*(1+$G$5/52)^35*$S$5)/MAX($D$5,0.01),0)</f>
        <v>0</v>
      </c>
      <c r="D44" s="197" t="n">
        <f aca="false">D43</f>
        <v>0</v>
      </c>
      <c r="E44" s="198" t="n">
        <f aca="false">E43*(1+$G$5/52)</f>
        <v>0</v>
      </c>
      <c r="F44" s="199" t="n">
        <f aca="false">IFERROR((C43*F43+H44*$D$5)/MAX(C44,0.001),F43)</f>
        <v>0</v>
      </c>
      <c r="G44" s="200" t="n">
        <f aca="false">C44*$D$5</f>
        <v>0</v>
      </c>
      <c r="H44" s="201" t="n">
        <f aca="false">C44-C43</f>
        <v>0</v>
      </c>
      <c r="I44" s="202" t="n">
        <f aca="false">I43+IF(UPPER($Q$5)="ON",(I43*$K$5*(1+$O$5/52)^35*$S$5)/MAX($L$5,0.01),0)</f>
        <v>0</v>
      </c>
      <c r="J44" s="203" t="n">
        <f aca="false">J43</f>
        <v>0</v>
      </c>
      <c r="K44" s="204" t="n">
        <f aca="false">K43*(1+$O$5/52)</f>
        <v>0</v>
      </c>
      <c r="L44" s="205" t="n">
        <f aca="false">IFERROR((I43*L43+N44*$L$5)/MAX(I44,0.001),L43)</f>
        <v>0</v>
      </c>
      <c r="M44" s="206" t="n">
        <f aca="false">I44*$L$5</f>
        <v>0</v>
      </c>
      <c r="N44" s="207" t="n">
        <f aca="false">I44-I43</f>
        <v>0</v>
      </c>
      <c r="O44" s="191"/>
      <c r="P44" s="191"/>
      <c r="Q44" s="208" t="n">
        <f aca="false">IFERROR(O44-C44,"")</f>
        <v>0</v>
      </c>
      <c r="R44" s="208" t="n">
        <f aca="false">IFERROR(P44-I44,"")</f>
        <v>0</v>
      </c>
      <c r="S44" s="209"/>
    </row>
    <row r="45" customFormat="false" ht="15" hidden="false" customHeight="true" outlineLevel="0" collapsed="false">
      <c r="A45" s="177" t="n">
        <v>37</v>
      </c>
      <c r="B45" s="178" t="n">
        <f aca="false">DATE(2026,3,13)+7*(37-1)</f>
        <v>46346</v>
      </c>
      <c r="C45" s="179" t="n">
        <f aca="false">C44+IF(UPPER($Q$5)="ON",(C44*$C$5*(1+$G$5/52)^36*$S$5)/MAX($D$5,0.01),0)</f>
        <v>0</v>
      </c>
      <c r="D45" s="180" t="n">
        <f aca="false">D44</f>
        <v>0</v>
      </c>
      <c r="E45" s="181" t="n">
        <f aca="false">E44*(1+$G$5/52)</f>
        <v>0</v>
      </c>
      <c r="F45" s="182" t="n">
        <f aca="false">IFERROR((C44*F44+H45*$D$5)/MAX(C45,0.001),F44)</f>
        <v>0</v>
      </c>
      <c r="G45" s="183" t="n">
        <f aca="false">C45*$D$5</f>
        <v>0</v>
      </c>
      <c r="H45" s="184" t="n">
        <f aca="false">C45-C44</f>
        <v>0</v>
      </c>
      <c r="I45" s="185" t="n">
        <f aca="false">I44+IF(UPPER($Q$5)="ON",(I44*$K$5*(1+$O$5/52)^36*$S$5)/MAX($L$5,0.01),0)</f>
        <v>0</v>
      </c>
      <c r="J45" s="186" t="n">
        <f aca="false">J44</f>
        <v>0</v>
      </c>
      <c r="K45" s="187" t="n">
        <f aca="false">K44*(1+$O$5/52)</f>
        <v>0</v>
      </c>
      <c r="L45" s="188" t="n">
        <f aca="false">IFERROR((I44*L44+N45*$L$5)/MAX(I45,0.001),L44)</f>
        <v>0</v>
      </c>
      <c r="M45" s="189" t="n">
        <f aca="false">I45*$L$5</f>
        <v>0</v>
      </c>
      <c r="N45" s="190" t="n">
        <f aca="false">I45-I44</f>
        <v>0</v>
      </c>
      <c r="O45" s="191"/>
      <c r="P45" s="191"/>
      <c r="Q45" s="192" t="n">
        <f aca="false">IFERROR(O45-C45,"")</f>
        <v>0</v>
      </c>
      <c r="R45" s="192" t="n">
        <f aca="false">IFERROR(P45-I45,"")</f>
        <v>0</v>
      </c>
      <c r="S45" s="193"/>
    </row>
    <row r="46" customFormat="false" ht="15" hidden="false" customHeight="true" outlineLevel="0" collapsed="false">
      <c r="A46" s="194" t="n">
        <v>38</v>
      </c>
      <c r="B46" s="195" t="n">
        <f aca="false">DATE(2026,3,13)+7*(38-1)</f>
        <v>46353</v>
      </c>
      <c r="C46" s="196" t="n">
        <f aca="false">C45+IF(UPPER($Q$5)="ON",(C45*$C$5*(1+$G$5/52)^37*$S$5)/MAX($D$5,0.01),0)</f>
        <v>0</v>
      </c>
      <c r="D46" s="197" t="n">
        <f aca="false">D45</f>
        <v>0</v>
      </c>
      <c r="E46" s="198" t="n">
        <f aca="false">E45*(1+$G$5/52)</f>
        <v>0</v>
      </c>
      <c r="F46" s="199" t="n">
        <f aca="false">IFERROR((C45*F45+H46*$D$5)/MAX(C46,0.001),F45)</f>
        <v>0</v>
      </c>
      <c r="G46" s="200" t="n">
        <f aca="false">C46*$D$5</f>
        <v>0</v>
      </c>
      <c r="H46" s="201" t="n">
        <f aca="false">C46-C45</f>
        <v>0</v>
      </c>
      <c r="I46" s="202" t="n">
        <f aca="false">I45+IF(UPPER($Q$5)="ON",(I45*$K$5*(1+$O$5/52)^37*$S$5)/MAX($L$5,0.01),0)</f>
        <v>0</v>
      </c>
      <c r="J46" s="203" t="n">
        <f aca="false">J45</f>
        <v>0</v>
      </c>
      <c r="K46" s="204" t="n">
        <f aca="false">K45*(1+$O$5/52)</f>
        <v>0</v>
      </c>
      <c r="L46" s="205" t="n">
        <f aca="false">IFERROR((I45*L45+N46*$L$5)/MAX(I46,0.001),L45)</f>
        <v>0</v>
      </c>
      <c r="M46" s="206" t="n">
        <f aca="false">I46*$L$5</f>
        <v>0</v>
      </c>
      <c r="N46" s="207" t="n">
        <f aca="false">I46-I45</f>
        <v>0</v>
      </c>
      <c r="O46" s="191"/>
      <c r="P46" s="191"/>
      <c r="Q46" s="208" t="n">
        <f aca="false">IFERROR(O46-C46,"")</f>
        <v>0</v>
      </c>
      <c r="R46" s="208" t="n">
        <f aca="false">IFERROR(P46-I46,"")</f>
        <v>0</v>
      </c>
      <c r="S46" s="209"/>
    </row>
    <row r="47" customFormat="false" ht="15" hidden="false" customHeight="true" outlineLevel="0" collapsed="false">
      <c r="A47" s="177" t="n">
        <v>39</v>
      </c>
      <c r="B47" s="178" t="n">
        <f aca="false">DATE(2026,3,13)+7*(39-1)</f>
        <v>46360</v>
      </c>
      <c r="C47" s="179" t="n">
        <f aca="false">C46+IF(UPPER($Q$5)="ON",(C46*$C$5*(1+$G$5/52)^38*$S$5)/MAX($D$5,0.01),0)</f>
        <v>0</v>
      </c>
      <c r="D47" s="180" t="n">
        <f aca="false">D46</f>
        <v>0</v>
      </c>
      <c r="E47" s="181" t="n">
        <f aca="false">E46*(1+$G$5/52)</f>
        <v>0</v>
      </c>
      <c r="F47" s="182" t="n">
        <f aca="false">IFERROR((C46*F46+H47*$D$5)/MAX(C47,0.001),F46)</f>
        <v>0</v>
      </c>
      <c r="G47" s="183" t="n">
        <f aca="false">C47*$D$5</f>
        <v>0</v>
      </c>
      <c r="H47" s="184" t="n">
        <f aca="false">C47-C46</f>
        <v>0</v>
      </c>
      <c r="I47" s="185" t="n">
        <f aca="false">I46+IF(UPPER($Q$5)="ON",(I46*$K$5*(1+$O$5/52)^38*$S$5)/MAX($L$5,0.01),0)</f>
        <v>0</v>
      </c>
      <c r="J47" s="186" t="n">
        <f aca="false">J46</f>
        <v>0</v>
      </c>
      <c r="K47" s="187" t="n">
        <f aca="false">K46*(1+$O$5/52)</f>
        <v>0</v>
      </c>
      <c r="L47" s="188" t="n">
        <f aca="false">IFERROR((I46*L46+N47*$L$5)/MAX(I47,0.001),L46)</f>
        <v>0</v>
      </c>
      <c r="M47" s="189" t="n">
        <f aca="false">I47*$L$5</f>
        <v>0</v>
      </c>
      <c r="N47" s="190" t="n">
        <f aca="false">I47-I46</f>
        <v>0</v>
      </c>
      <c r="O47" s="191"/>
      <c r="P47" s="191"/>
      <c r="Q47" s="192" t="n">
        <f aca="false">IFERROR(O47-C47,"")</f>
        <v>0</v>
      </c>
      <c r="R47" s="192" t="n">
        <f aca="false">IFERROR(P47-I47,"")</f>
        <v>0</v>
      </c>
      <c r="S47" s="193"/>
    </row>
    <row r="48" customFormat="false" ht="15" hidden="false" customHeight="true" outlineLevel="0" collapsed="false">
      <c r="A48" s="194" t="n">
        <v>40</v>
      </c>
      <c r="B48" s="195" t="n">
        <f aca="false">DATE(2026,3,13)+7*(40-1)</f>
        <v>46367</v>
      </c>
      <c r="C48" s="196" t="n">
        <f aca="false">C47+IF(UPPER($Q$5)="ON",(C47*$C$5*(1+$G$5/52)^39*$S$5)/MAX($D$5,0.01),0)</f>
        <v>0</v>
      </c>
      <c r="D48" s="197" t="n">
        <f aca="false">D47</f>
        <v>0</v>
      </c>
      <c r="E48" s="198" t="n">
        <f aca="false">E47*(1+$G$5/52)</f>
        <v>0</v>
      </c>
      <c r="F48" s="199" t="n">
        <f aca="false">IFERROR((C47*F47+H48*$D$5)/MAX(C48,0.001),F47)</f>
        <v>0</v>
      </c>
      <c r="G48" s="200" t="n">
        <f aca="false">C48*$D$5</f>
        <v>0</v>
      </c>
      <c r="H48" s="201" t="n">
        <f aca="false">C48-C47</f>
        <v>0</v>
      </c>
      <c r="I48" s="202" t="n">
        <f aca="false">I47+IF(UPPER($Q$5)="ON",(I47*$K$5*(1+$O$5/52)^39*$S$5)/MAX($L$5,0.01),0)</f>
        <v>0</v>
      </c>
      <c r="J48" s="203" t="n">
        <f aca="false">J47</f>
        <v>0</v>
      </c>
      <c r="K48" s="204" t="n">
        <f aca="false">K47*(1+$O$5/52)</f>
        <v>0</v>
      </c>
      <c r="L48" s="205" t="n">
        <f aca="false">IFERROR((I47*L47+N48*$L$5)/MAX(I48,0.001),L47)</f>
        <v>0</v>
      </c>
      <c r="M48" s="206" t="n">
        <f aca="false">I48*$L$5</f>
        <v>0</v>
      </c>
      <c r="N48" s="207" t="n">
        <f aca="false">I48-I47</f>
        <v>0</v>
      </c>
      <c r="O48" s="191"/>
      <c r="P48" s="191"/>
      <c r="Q48" s="208" t="n">
        <f aca="false">IFERROR(O48-C48,"")</f>
        <v>0</v>
      </c>
      <c r="R48" s="208" t="n">
        <f aca="false">IFERROR(P48-I48,"")</f>
        <v>0</v>
      </c>
      <c r="S48" s="209"/>
    </row>
    <row r="49" customFormat="false" ht="15" hidden="false" customHeight="true" outlineLevel="0" collapsed="false">
      <c r="A49" s="177" t="n">
        <v>41</v>
      </c>
      <c r="B49" s="178" t="n">
        <f aca="false">DATE(2026,3,13)+7*(41-1)</f>
        <v>46374</v>
      </c>
      <c r="C49" s="179" t="n">
        <f aca="false">C48+IF(UPPER($Q$5)="ON",(C48*$C$5*(1+$G$5/52)^40*$S$5)/MAX($D$5,0.01),0)</f>
        <v>0</v>
      </c>
      <c r="D49" s="180" t="n">
        <f aca="false">D48</f>
        <v>0</v>
      </c>
      <c r="E49" s="181" t="n">
        <f aca="false">E48*(1+$G$5/52)</f>
        <v>0</v>
      </c>
      <c r="F49" s="182" t="n">
        <f aca="false">IFERROR((C48*F48+H49*$D$5)/MAX(C49,0.001),F48)</f>
        <v>0</v>
      </c>
      <c r="G49" s="183" t="n">
        <f aca="false">C49*$D$5</f>
        <v>0</v>
      </c>
      <c r="H49" s="184" t="n">
        <f aca="false">C49-C48</f>
        <v>0</v>
      </c>
      <c r="I49" s="185" t="n">
        <f aca="false">I48+IF(UPPER($Q$5)="ON",(I48*$K$5*(1+$O$5/52)^40*$S$5)/MAX($L$5,0.01),0)</f>
        <v>0</v>
      </c>
      <c r="J49" s="186" t="n">
        <f aca="false">J48</f>
        <v>0</v>
      </c>
      <c r="K49" s="187" t="n">
        <f aca="false">K48*(1+$O$5/52)</f>
        <v>0</v>
      </c>
      <c r="L49" s="188" t="n">
        <f aca="false">IFERROR((I48*L48+N49*$L$5)/MAX(I49,0.001),L48)</f>
        <v>0</v>
      </c>
      <c r="M49" s="189" t="n">
        <f aca="false">I49*$L$5</f>
        <v>0</v>
      </c>
      <c r="N49" s="190" t="n">
        <f aca="false">I49-I48</f>
        <v>0</v>
      </c>
      <c r="O49" s="191"/>
      <c r="P49" s="191"/>
      <c r="Q49" s="192" t="n">
        <f aca="false">IFERROR(O49-C49,"")</f>
        <v>0</v>
      </c>
      <c r="R49" s="192" t="n">
        <f aca="false">IFERROR(P49-I49,"")</f>
        <v>0</v>
      </c>
      <c r="S49" s="193"/>
    </row>
    <row r="50" customFormat="false" ht="15" hidden="false" customHeight="true" outlineLevel="0" collapsed="false">
      <c r="A50" s="194" t="n">
        <v>42</v>
      </c>
      <c r="B50" s="195" t="n">
        <f aca="false">DATE(2026,3,13)+7*(42-1)</f>
        <v>46381</v>
      </c>
      <c r="C50" s="196" t="n">
        <f aca="false">C49+IF(UPPER($Q$5)="ON",(C49*$C$5*(1+$G$5/52)^41*$S$5)/MAX($D$5,0.01),0)</f>
        <v>0</v>
      </c>
      <c r="D50" s="197" t="n">
        <f aca="false">D49</f>
        <v>0</v>
      </c>
      <c r="E50" s="198" t="n">
        <f aca="false">E49*(1+$G$5/52)</f>
        <v>0</v>
      </c>
      <c r="F50" s="199" t="n">
        <f aca="false">IFERROR((C49*F49+H50*$D$5)/MAX(C50,0.001),F49)</f>
        <v>0</v>
      </c>
      <c r="G50" s="200" t="n">
        <f aca="false">C50*$D$5</f>
        <v>0</v>
      </c>
      <c r="H50" s="201" t="n">
        <f aca="false">C50-C49</f>
        <v>0</v>
      </c>
      <c r="I50" s="202" t="n">
        <f aca="false">I49+IF(UPPER($Q$5)="ON",(I49*$K$5*(1+$O$5/52)^41*$S$5)/MAX($L$5,0.01),0)</f>
        <v>0</v>
      </c>
      <c r="J50" s="203" t="n">
        <f aca="false">J49</f>
        <v>0</v>
      </c>
      <c r="K50" s="204" t="n">
        <f aca="false">K49*(1+$O$5/52)</f>
        <v>0</v>
      </c>
      <c r="L50" s="205" t="n">
        <f aca="false">IFERROR((I49*L49+N50*$L$5)/MAX(I50,0.001),L49)</f>
        <v>0</v>
      </c>
      <c r="M50" s="206" t="n">
        <f aca="false">I50*$L$5</f>
        <v>0</v>
      </c>
      <c r="N50" s="207" t="n">
        <f aca="false">I50-I49</f>
        <v>0</v>
      </c>
      <c r="O50" s="191"/>
      <c r="P50" s="191"/>
      <c r="Q50" s="208" t="n">
        <f aca="false">IFERROR(O50-C50,"")</f>
        <v>0</v>
      </c>
      <c r="R50" s="208" t="n">
        <f aca="false">IFERROR(P50-I50,"")</f>
        <v>0</v>
      </c>
      <c r="S50" s="209"/>
    </row>
    <row r="51" customFormat="false" ht="15" hidden="false" customHeight="true" outlineLevel="0" collapsed="false">
      <c r="A51" s="177" t="n">
        <v>43</v>
      </c>
      <c r="B51" s="178" t="n">
        <f aca="false">DATE(2026,3,13)+7*(43-1)</f>
        <v>46388</v>
      </c>
      <c r="C51" s="179" t="n">
        <f aca="false">C50+IF(UPPER($Q$5)="ON",(C50*$C$5*(1+$G$5/52)^42*$S$5)/MAX($D$5,0.01),0)</f>
        <v>0</v>
      </c>
      <c r="D51" s="180" t="n">
        <f aca="false">D50</f>
        <v>0</v>
      </c>
      <c r="E51" s="181" t="n">
        <f aca="false">E50*(1+$G$5/52)</f>
        <v>0</v>
      </c>
      <c r="F51" s="182" t="n">
        <f aca="false">IFERROR((C50*F50+H51*$D$5)/MAX(C51,0.001),F50)</f>
        <v>0</v>
      </c>
      <c r="G51" s="183" t="n">
        <f aca="false">C51*$D$5</f>
        <v>0</v>
      </c>
      <c r="H51" s="184" t="n">
        <f aca="false">C51-C50</f>
        <v>0</v>
      </c>
      <c r="I51" s="185" t="n">
        <f aca="false">I50+IF(UPPER($Q$5)="ON",(I50*$K$5*(1+$O$5/52)^42*$S$5)/MAX($L$5,0.01),0)</f>
        <v>0</v>
      </c>
      <c r="J51" s="186" t="n">
        <f aca="false">J50</f>
        <v>0</v>
      </c>
      <c r="K51" s="187" t="n">
        <f aca="false">K50*(1+$O$5/52)</f>
        <v>0</v>
      </c>
      <c r="L51" s="188" t="n">
        <f aca="false">IFERROR((I50*L50+N51*$L$5)/MAX(I51,0.001),L50)</f>
        <v>0</v>
      </c>
      <c r="M51" s="189" t="n">
        <f aca="false">I51*$L$5</f>
        <v>0</v>
      </c>
      <c r="N51" s="190" t="n">
        <f aca="false">I51-I50</f>
        <v>0</v>
      </c>
      <c r="O51" s="191"/>
      <c r="P51" s="191"/>
      <c r="Q51" s="192" t="n">
        <f aca="false">IFERROR(O51-C51,"")</f>
        <v>0</v>
      </c>
      <c r="R51" s="192" t="n">
        <f aca="false">IFERROR(P51-I51,"")</f>
        <v>0</v>
      </c>
      <c r="S51" s="193"/>
    </row>
    <row r="52" customFormat="false" ht="15" hidden="false" customHeight="true" outlineLevel="0" collapsed="false">
      <c r="A52" s="194" t="n">
        <v>44</v>
      </c>
      <c r="B52" s="195" t="n">
        <f aca="false">DATE(2026,3,13)+7*(44-1)</f>
        <v>46395</v>
      </c>
      <c r="C52" s="196" t="n">
        <f aca="false">C51+IF(UPPER($Q$5)="ON",(C51*$C$5*(1+$G$5/52)^43*$S$5)/MAX($D$5,0.01),0)</f>
        <v>0</v>
      </c>
      <c r="D52" s="197" t="n">
        <f aca="false">D51</f>
        <v>0</v>
      </c>
      <c r="E52" s="198" t="n">
        <f aca="false">E51*(1+$G$5/52)</f>
        <v>0</v>
      </c>
      <c r="F52" s="199" t="n">
        <f aca="false">IFERROR((C51*F51+H52*$D$5)/MAX(C52,0.001),F51)</f>
        <v>0</v>
      </c>
      <c r="G52" s="200" t="n">
        <f aca="false">C52*$D$5</f>
        <v>0</v>
      </c>
      <c r="H52" s="201" t="n">
        <f aca="false">C52-C51</f>
        <v>0</v>
      </c>
      <c r="I52" s="202" t="n">
        <f aca="false">I51+IF(UPPER($Q$5)="ON",(I51*$K$5*(1+$O$5/52)^43*$S$5)/MAX($L$5,0.01),0)</f>
        <v>0</v>
      </c>
      <c r="J52" s="203" t="n">
        <f aca="false">J51</f>
        <v>0</v>
      </c>
      <c r="K52" s="204" t="n">
        <f aca="false">K51*(1+$O$5/52)</f>
        <v>0</v>
      </c>
      <c r="L52" s="205" t="n">
        <f aca="false">IFERROR((I51*L51+N52*$L$5)/MAX(I52,0.001),L51)</f>
        <v>0</v>
      </c>
      <c r="M52" s="206" t="n">
        <f aca="false">I52*$L$5</f>
        <v>0</v>
      </c>
      <c r="N52" s="207" t="n">
        <f aca="false">I52-I51</f>
        <v>0</v>
      </c>
      <c r="O52" s="191"/>
      <c r="P52" s="191"/>
      <c r="Q52" s="208" t="n">
        <f aca="false">IFERROR(O52-C52,"")</f>
        <v>0</v>
      </c>
      <c r="R52" s="208" t="n">
        <f aca="false">IFERROR(P52-I52,"")</f>
        <v>0</v>
      </c>
      <c r="S52" s="209"/>
    </row>
    <row r="53" customFormat="false" ht="15" hidden="false" customHeight="true" outlineLevel="0" collapsed="false">
      <c r="A53" s="177" t="n">
        <v>45</v>
      </c>
      <c r="B53" s="178" t="n">
        <f aca="false">DATE(2026,3,13)+7*(45-1)</f>
        <v>46402</v>
      </c>
      <c r="C53" s="179" t="n">
        <f aca="false">C52+IF(UPPER($Q$5)="ON",(C52*$C$5*(1+$G$5/52)^44*$S$5)/MAX($D$5,0.01),0)</f>
        <v>0</v>
      </c>
      <c r="D53" s="180" t="n">
        <f aca="false">D52</f>
        <v>0</v>
      </c>
      <c r="E53" s="181" t="n">
        <f aca="false">E52*(1+$G$5/52)</f>
        <v>0</v>
      </c>
      <c r="F53" s="182" t="n">
        <f aca="false">IFERROR((C52*F52+H53*$D$5)/MAX(C53,0.001),F52)</f>
        <v>0</v>
      </c>
      <c r="G53" s="183" t="n">
        <f aca="false">C53*$D$5</f>
        <v>0</v>
      </c>
      <c r="H53" s="184" t="n">
        <f aca="false">C53-C52</f>
        <v>0</v>
      </c>
      <c r="I53" s="185" t="n">
        <f aca="false">I52+IF(UPPER($Q$5)="ON",(I52*$K$5*(1+$O$5/52)^44*$S$5)/MAX($L$5,0.01),0)</f>
        <v>0</v>
      </c>
      <c r="J53" s="186" t="n">
        <f aca="false">J52</f>
        <v>0</v>
      </c>
      <c r="K53" s="187" t="n">
        <f aca="false">K52*(1+$O$5/52)</f>
        <v>0</v>
      </c>
      <c r="L53" s="188" t="n">
        <f aca="false">IFERROR((I52*L52+N53*$L$5)/MAX(I53,0.001),L52)</f>
        <v>0</v>
      </c>
      <c r="M53" s="189" t="n">
        <f aca="false">I53*$L$5</f>
        <v>0</v>
      </c>
      <c r="N53" s="190" t="n">
        <f aca="false">I53-I52</f>
        <v>0</v>
      </c>
      <c r="O53" s="191"/>
      <c r="P53" s="191"/>
      <c r="Q53" s="192" t="n">
        <f aca="false">IFERROR(O53-C53,"")</f>
        <v>0</v>
      </c>
      <c r="R53" s="192" t="n">
        <f aca="false">IFERROR(P53-I53,"")</f>
        <v>0</v>
      </c>
      <c r="S53" s="193"/>
    </row>
    <row r="54" customFormat="false" ht="15" hidden="false" customHeight="true" outlineLevel="0" collapsed="false">
      <c r="A54" s="194" t="n">
        <v>46</v>
      </c>
      <c r="B54" s="195" t="n">
        <f aca="false">DATE(2026,3,13)+7*(46-1)</f>
        <v>46409</v>
      </c>
      <c r="C54" s="196" t="n">
        <f aca="false">C53+IF(UPPER($Q$5)="ON",(C53*$C$5*(1+$G$5/52)^45*$S$5)/MAX($D$5,0.01),0)</f>
        <v>0</v>
      </c>
      <c r="D54" s="197" t="n">
        <f aca="false">D53</f>
        <v>0</v>
      </c>
      <c r="E54" s="198" t="n">
        <f aca="false">E53*(1+$G$5/52)</f>
        <v>0</v>
      </c>
      <c r="F54" s="199" t="n">
        <f aca="false">IFERROR((C53*F53+H54*$D$5)/MAX(C54,0.001),F53)</f>
        <v>0</v>
      </c>
      <c r="G54" s="200" t="n">
        <f aca="false">C54*$D$5</f>
        <v>0</v>
      </c>
      <c r="H54" s="201" t="n">
        <f aca="false">C54-C53</f>
        <v>0</v>
      </c>
      <c r="I54" s="202" t="n">
        <f aca="false">I53+IF(UPPER($Q$5)="ON",(I53*$K$5*(1+$O$5/52)^45*$S$5)/MAX($L$5,0.01),0)</f>
        <v>0</v>
      </c>
      <c r="J54" s="203" t="n">
        <f aca="false">J53</f>
        <v>0</v>
      </c>
      <c r="K54" s="204" t="n">
        <f aca="false">K53*(1+$O$5/52)</f>
        <v>0</v>
      </c>
      <c r="L54" s="205" t="n">
        <f aca="false">IFERROR((I53*L53+N54*$L$5)/MAX(I54,0.001),L53)</f>
        <v>0</v>
      </c>
      <c r="M54" s="206" t="n">
        <f aca="false">I54*$L$5</f>
        <v>0</v>
      </c>
      <c r="N54" s="207" t="n">
        <f aca="false">I54-I53</f>
        <v>0</v>
      </c>
      <c r="O54" s="191"/>
      <c r="P54" s="191"/>
      <c r="Q54" s="208" t="n">
        <f aca="false">IFERROR(O54-C54,"")</f>
        <v>0</v>
      </c>
      <c r="R54" s="208" t="n">
        <f aca="false">IFERROR(P54-I54,"")</f>
        <v>0</v>
      </c>
      <c r="S54" s="209"/>
    </row>
    <row r="55" customFormat="false" ht="15" hidden="false" customHeight="true" outlineLevel="0" collapsed="false">
      <c r="A55" s="177" t="n">
        <v>47</v>
      </c>
      <c r="B55" s="178" t="n">
        <f aca="false">DATE(2026,3,13)+7*(47-1)</f>
        <v>46416</v>
      </c>
      <c r="C55" s="179" t="n">
        <f aca="false">C54+IF(UPPER($Q$5)="ON",(C54*$C$5*(1+$G$5/52)^46*$S$5)/MAX($D$5,0.01),0)</f>
        <v>0</v>
      </c>
      <c r="D55" s="180" t="n">
        <f aca="false">D54</f>
        <v>0</v>
      </c>
      <c r="E55" s="181" t="n">
        <f aca="false">E54*(1+$G$5/52)</f>
        <v>0</v>
      </c>
      <c r="F55" s="182" t="n">
        <f aca="false">IFERROR((C54*F54+H55*$D$5)/MAX(C55,0.001),F54)</f>
        <v>0</v>
      </c>
      <c r="G55" s="183" t="n">
        <f aca="false">C55*$D$5</f>
        <v>0</v>
      </c>
      <c r="H55" s="184" t="n">
        <f aca="false">C55-C54</f>
        <v>0</v>
      </c>
      <c r="I55" s="185" t="n">
        <f aca="false">I54+IF(UPPER($Q$5)="ON",(I54*$K$5*(1+$O$5/52)^46*$S$5)/MAX($L$5,0.01),0)</f>
        <v>0</v>
      </c>
      <c r="J55" s="186" t="n">
        <f aca="false">J54</f>
        <v>0</v>
      </c>
      <c r="K55" s="187" t="n">
        <f aca="false">K54*(1+$O$5/52)</f>
        <v>0</v>
      </c>
      <c r="L55" s="188" t="n">
        <f aca="false">IFERROR((I54*L54+N55*$L$5)/MAX(I55,0.001),L54)</f>
        <v>0</v>
      </c>
      <c r="M55" s="189" t="n">
        <f aca="false">I55*$L$5</f>
        <v>0</v>
      </c>
      <c r="N55" s="190" t="n">
        <f aca="false">I55-I54</f>
        <v>0</v>
      </c>
      <c r="O55" s="191"/>
      <c r="P55" s="191"/>
      <c r="Q55" s="192" t="n">
        <f aca="false">IFERROR(O55-C55,"")</f>
        <v>0</v>
      </c>
      <c r="R55" s="192" t="n">
        <f aca="false">IFERROR(P55-I55,"")</f>
        <v>0</v>
      </c>
      <c r="S55" s="193"/>
    </row>
    <row r="56" customFormat="false" ht="15" hidden="false" customHeight="true" outlineLevel="0" collapsed="false">
      <c r="A56" s="194" t="n">
        <v>48</v>
      </c>
      <c r="B56" s="195" t="n">
        <f aca="false">DATE(2026,3,13)+7*(48-1)</f>
        <v>46423</v>
      </c>
      <c r="C56" s="196" t="n">
        <f aca="false">C55+IF(UPPER($Q$5)="ON",(C55*$C$5*(1+$G$5/52)^47*$S$5)/MAX($D$5,0.01),0)</f>
        <v>0</v>
      </c>
      <c r="D56" s="197" t="n">
        <f aca="false">D55</f>
        <v>0</v>
      </c>
      <c r="E56" s="198" t="n">
        <f aca="false">E55*(1+$G$5/52)</f>
        <v>0</v>
      </c>
      <c r="F56" s="199" t="n">
        <f aca="false">IFERROR((C55*F55+H56*$D$5)/MAX(C56,0.001),F55)</f>
        <v>0</v>
      </c>
      <c r="G56" s="200" t="n">
        <f aca="false">C56*$D$5</f>
        <v>0</v>
      </c>
      <c r="H56" s="201" t="n">
        <f aca="false">C56-C55</f>
        <v>0</v>
      </c>
      <c r="I56" s="202" t="n">
        <f aca="false">I55+IF(UPPER($Q$5)="ON",(I55*$K$5*(1+$O$5/52)^47*$S$5)/MAX($L$5,0.01),0)</f>
        <v>0</v>
      </c>
      <c r="J56" s="203" t="n">
        <f aca="false">J55</f>
        <v>0</v>
      </c>
      <c r="K56" s="204" t="n">
        <f aca="false">K55*(1+$O$5/52)</f>
        <v>0</v>
      </c>
      <c r="L56" s="205" t="n">
        <f aca="false">IFERROR((I55*L55+N56*$L$5)/MAX(I56,0.001),L55)</f>
        <v>0</v>
      </c>
      <c r="M56" s="206" t="n">
        <f aca="false">I56*$L$5</f>
        <v>0</v>
      </c>
      <c r="N56" s="207" t="n">
        <f aca="false">I56-I55</f>
        <v>0</v>
      </c>
      <c r="O56" s="191"/>
      <c r="P56" s="191"/>
      <c r="Q56" s="208" t="n">
        <f aca="false">IFERROR(O56-C56,"")</f>
        <v>0</v>
      </c>
      <c r="R56" s="208" t="n">
        <f aca="false">IFERROR(P56-I56,"")</f>
        <v>0</v>
      </c>
      <c r="S56" s="209"/>
    </row>
    <row r="57" customFormat="false" ht="15" hidden="false" customHeight="true" outlineLevel="0" collapsed="false">
      <c r="A57" s="177" t="n">
        <v>49</v>
      </c>
      <c r="B57" s="178" t="n">
        <f aca="false">DATE(2026,3,13)+7*(49-1)</f>
        <v>46430</v>
      </c>
      <c r="C57" s="179" t="n">
        <f aca="false">C56+IF(UPPER($Q$5)="ON",(C56*$C$5*(1+$G$5/52)^48*$S$5)/MAX($D$5,0.01),0)</f>
        <v>0</v>
      </c>
      <c r="D57" s="180" t="n">
        <f aca="false">D56</f>
        <v>0</v>
      </c>
      <c r="E57" s="181" t="n">
        <f aca="false">E56*(1+$G$5/52)</f>
        <v>0</v>
      </c>
      <c r="F57" s="182" t="n">
        <f aca="false">IFERROR((C56*F56+H57*$D$5)/MAX(C57,0.001),F56)</f>
        <v>0</v>
      </c>
      <c r="G57" s="183" t="n">
        <f aca="false">C57*$D$5</f>
        <v>0</v>
      </c>
      <c r="H57" s="184" t="n">
        <f aca="false">C57-C56</f>
        <v>0</v>
      </c>
      <c r="I57" s="185" t="n">
        <f aca="false">I56+IF(UPPER($Q$5)="ON",(I56*$K$5*(1+$O$5/52)^48*$S$5)/MAX($L$5,0.01),0)</f>
        <v>0</v>
      </c>
      <c r="J57" s="186" t="n">
        <f aca="false">J56</f>
        <v>0</v>
      </c>
      <c r="K57" s="187" t="n">
        <f aca="false">K56*(1+$O$5/52)</f>
        <v>0</v>
      </c>
      <c r="L57" s="188" t="n">
        <f aca="false">IFERROR((I56*L56+N57*$L$5)/MAX(I57,0.001),L56)</f>
        <v>0</v>
      </c>
      <c r="M57" s="189" t="n">
        <f aca="false">I57*$L$5</f>
        <v>0</v>
      </c>
      <c r="N57" s="190" t="n">
        <f aca="false">I57-I56</f>
        <v>0</v>
      </c>
      <c r="O57" s="191"/>
      <c r="P57" s="191"/>
      <c r="Q57" s="192" t="n">
        <f aca="false">IFERROR(O57-C57,"")</f>
        <v>0</v>
      </c>
      <c r="R57" s="192" t="n">
        <f aca="false">IFERROR(P57-I57,"")</f>
        <v>0</v>
      </c>
      <c r="S57" s="193"/>
    </row>
    <row r="58" customFormat="false" ht="15" hidden="false" customHeight="true" outlineLevel="0" collapsed="false">
      <c r="A58" s="194" t="n">
        <v>50</v>
      </c>
      <c r="B58" s="195" t="n">
        <f aca="false">DATE(2026,3,13)+7*(50-1)</f>
        <v>46437</v>
      </c>
      <c r="C58" s="196" t="n">
        <f aca="false">C57+IF(UPPER($Q$5)="ON",(C57*$C$5*(1+$G$5/52)^49*$S$5)/MAX($D$5,0.01),0)</f>
        <v>0</v>
      </c>
      <c r="D58" s="197" t="n">
        <f aca="false">D57</f>
        <v>0</v>
      </c>
      <c r="E58" s="198" t="n">
        <f aca="false">E57*(1+$G$5/52)</f>
        <v>0</v>
      </c>
      <c r="F58" s="199" t="n">
        <f aca="false">IFERROR((C57*F57+H58*$D$5)/MAX(C58,0.001),F57)</f>
        <v>0</v>
      </c>
      <c r="G58" s="200" t="n">
        <f aca="false">C58*$D$5</f>
        <v>0</v>
      </c>
      <c r="H58" s="201" t="n">
        <f aca="false">C58-C57</f>
        <v>0</v>
      </c>
      <c r="I58" s="202" t="n">
        <f aca="false">I57+IF(UPPER($Q$5)="ON",(I57*$K$5*(1+$O$5/52)^49*$S$5)/MAX($L$5,0.01),0)</f>
        <v>0</v>
      </c>
      <c r="J58" s="203" t="n">
        <f aca="false">J57</f>
        <v>0</v>
      </c>
      <c r="K58" s="204" t="n">
        <f aca="false">K57*(1+$O$5/52)</f>
        <v>0</v>
      </c>
      <c r="L58" s="205" t="n">
        <f aca="false">IFERROR((I57*L57+N58*$L$5)/MAX(I58,0.001),L57)</f>
        <v>0</v>
      </c>
      <c r="M58" s="206" t="n">
        <f aca="false">I58*$L$5</f>
        <v>0</v>
      </c>
      <c r="N58" s="207" t="n">
        <f aca="false">I58-I57</f>
        <v>0</v>
      </c>
      <c r="O58" s="191"/>
      <c r="P58" s="191"/>
      <c r="Q58" s="208" t="n">
        <f aca="false">IFERROR(O58-C58,"")</f>
        <v>0</v>
      </c>
      <c r="R58" s="208" t="n">
        <f aca="false">IFERROR(P58-I58,"")</f>
        <v>0</v>
      </c>
      <c r="S58" s="209"/>
    </row>
    <row r="59" customFormat="false" ht="15" hidden="false" customHeight="true" outlineLevel="0" collapsed="false">
      <c r="A59" s="177" t="n">
        <v>51</v>
      </c>
      <c r="B59" s="178" t="n">
        <f aca="false">DATE(2026,3,13)+7*(51-1)</f>
        <v>46444</v>
      </c>
      <c r="C59" s="179" t="n">
        <f aca="false">C58+IF(UPPER($Q$5)="ON",(C58*$C$5*(1+$G$5/52)^50*$S$5)/MAX($D$5,0.01),0)</f>
        <v>0</v>
      </c>
      <c r="D59" s="180" t="n">
        <f aca="false">D58</f>
        <v>0</v>
      </c>
      <c r="E59" s="181" t="n">
        <f aca="false">E58*(1+$G$5/52)</f>
        <v>0</v>
      </c>
      <c r="F59" s="182" t="n">
        <f aca="false">IFERROR((C58*F58+H59*$D$5)/MAX(C59,0.001),F58)</f>
        <v>0</v>
      </c>
      <c r="G59" s="183" t="n">
        <f aca="false">C59*$D$5</f>
        <v>0</v>
      </c>
      <c r="H59" s="184" t="n">
        <f aca="false">C59-C58</f>
        <v>0</v>
      </c>
      <c r="I59" s="185" t="n">
        <f aca="false">I58+IF(UPPER($Q$5)="ON",(I58*$K$5*(1+$O$5/52)^50*$S$5)/MAX($L$5,0.01),0)</f>
        <v>0</v>
      </c>
      <c r="J59" s="186" t="n">
        <f aca="false">J58</f>
        <v>0</v>
      </c>
      <c r="K59" s="187" t="n">
        <f aca="false">K58*(1+$O$5/52)</f>
        <v>0</v>
      </c>
      <c r="L59" s="188" t="n">
        <f aca="false">IFERROR((I58*L58+N59*$L$5)/MAX(I59,0.001),L58)</f>
        <v>0</v>
      </c>
      <c r="M59" s="189" t="n">
        <f aca="false">I59*$L$5</f>
        <v>0</v>
      </c>
      <c r="N59" s="190" t="n">
        <f aca="false">I59-I58</f>
        <v>0</v>
      </c>
      <c r="O59" s="191"/>
      <c r="P59" s="191"/>
      <c r="Q59" s="192" t="n">
        <f aca="false">IFERROR(O59-C59,"")</f>
        <v>0</v>
      </c>
      <c r="R59" s="192" t="n">
        <f aca="false">IFERROR(P59-I59,"")</f>
        <v>0</v>
      </c>
      <c r="S59" s="193"/>
    </row>
    <row r="60" customFormat="false" ht="15" hidden="false" customHeight="true" outlineLevel="0" collapsed="false">
      <c r="A60" s="194" t="n">
        <v>52</v>
      </c>
      <c r="B60" s="195" t="n">
        <f aca="false">DATE(2026,3,13)+7*(52-1)</f>
        <v>46451</v>
      </c>
      <c r="C60" s="196" t="n">
        <f aca="false">C59+IF(UPPER($Q$5)="ON",(C59*$C$5*(1+$G$5/52)^51*$S$5)/MAX($D$5,0.01),0)</f>
        <v>0</v>
      </c>
      <c r="D60" s="197" t="n">
        <f aca="false">D59</f>
        <v>0</v>
      </c>
      <c r="E60" s="198" t="n">
        <f aca="false">E59*(1+$G$5/52)</f>
        <v>0</v>
      </c>
      <c r="F60" s="199" t="n">
        <f aca="false">IFERROR((C59*F59+H60*$D$5)/MAX(C60,0.001),F59)</f>
        <v>0</v>
      </c>
      <c r="G60" s="200" t="n">
        <f aca="false">C60*$D$5</f>
        <v>0</v>
      </c>
      <c r="H60" s="201" t="n">
        <f aca="false">C60-C59</f>
        <v>0</v>
      </c>
      <c r="I60" s="202" t="n">
        <f aca="false">I59+IF(UPPER($Q$5)="ON",(I59*$K$5*(1+$O$5/52)^51*$S$5)/MAX($L$5,0.01),0)</f>
        <v>0</v>
      </c>
      <c r="J60" s="203" t="n">
        <f aca="false">J59</f>
        <v>0</v>
      </c>
      <c r="K60" s="204" t="n">
        <f aca="false">K59*(1+$O$5/52)</f>
        <v>0</v>
      </c>
      <c r="L60" s="205" t="n">
        <f aca="false">IFERROR((I59*L59+N60*$L$5)/MAX(I60,0.001),L59)</f>
        <v>0</v>
      </c>
      <c r="M60" s="206" t="n">
        <f aca="false">I60*$L$5</f>
        <v>0</v>
      </c>
      <c r="N60" s="207" t="n">
        <f aca="false">I60-I59</f>
        <v>0</v>
      </c>
      <c r="O60" s="191"/>
      <c r="P60" s="191"/>
      <c r="Q60" s="208" t="n">
        <f aca="false">IFERROR(O60-C60,"")</f>
        <v>0</v>
      </c>
      <c r="R60" s="208" t="n">
        <f aca="false">IFERROR(P60-I60,"")</f>
        <v>0</v>
      </c>
      <c r="S60" s="209"/>
    </row>
    <row r="62" customFormat="false" ht="25.5" hidden="false" customHeight="true" outlineLevel="0" collapsed="false">
      <c r="A62" s="210" t="s">
        <v>298</v>
      </c>
      <c r="B62" s="210"/>
      <c r="C62" s="210"/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10"/>
      <c r="P62" s="210"/>
      <c r="Q62" s="210"/>
      <c r="R62" s="210"/>
      <c r="S62" s="210"/>
    </row>
    <row r="63" customFormat="false" ht="15" hidden="false" customHeight="true" outlineLevel="0" collapsed="false">
      <c r="A63" s="211" t="s">
        <v>299</v>
      </c>
      <c r="C63" s="212" t="n">
        <f aca="false">C60</f>
        <v>0</v>
      </c>
    </row>
    <row r="64" customFormat="false" ht="15" hidden="false" customHeight="true" outlineLevel="0" collapsed="false">
      <c r="A64" s="211" t="s">
        <v>300</v>
      </c>
      <c r="C64" s="213" t="n">
        <f aca="false">D60</f>
        <v>0</v>
      </c>
    </row>
    <row r="65" customFormat="false" ht="15" hidden="false" customHeight="true" outlineLevel="0" collapsed="false">
      <c r="A65" s="211" t="s">
        <v>301</v>
      </c>
      <c r="C65" s="214" t="n">
        <f aca="false">G60</f>
        <v>0</v>
      </c>
    </row>
    <row r="66" customFormat="false" ht="15" hidden="false" customHeight="true" outlineLevel="0" collapsed="false">
      <c r="A66" s="211" t="s">
        <v>302</v>
      </c>
      <c r="C66" s="215" t="n">
        <f aca="false">SUM(H9:H60)</f>
        <v>0</v>
      </c>
    </row>
    <row r="67" customFormat="false" ht="15" hidden="false" customHeight="true" outlineLevel="0" collapsed="false">
      <c r="A67" s="211" t="s">
        <v>303</v>
      </c>
      <c r="C67" s="216" t="n">
        <f aca="false">I60</f>
        <v>0</v>
      </c>
    </row>
    <row r="68" customFormat="false" ht="15" hidden="false" customHeight="true" outlineLevel="0" collapsed="false">
      <c r="A68" s="211" t="s">
        <v>304</v>
      </c>
      <c r="C68" s="217" t="n">
        <f aca="false">J60</f>
        <v>0</v>
      </c>
    </row>
    <row r="69" customFormat="false" ht="15" hidden="false" customHeight="true" outlineLevel="0" collapsed="false">
      <c r="A69" s="211" t="s">
        <v>305</v>
      </c>
      <c r="C69" s="218" t="n">
        <f aca="false">M60</f>
        <v>0</v>
      </c>
    </row>
    <row r="70" customFormat="false" ht="15" hidden="false" customHeight="true" outlineLevel="0" collapsed="false">
      <c r="A70" s="211" t="s">
        <v>306</v>
      </c>
      <c r="C70" s="215" t="n">
        <f aca="false">SUM(N9:N60)</f>
        <v>0</v>
      </c>
    </row>
    <row r="71" customFormat="false" ht="15" hidden="false" customHeight="true" outlineLevel="0" collapsed="false">
      <c r="A71" s="211" t="s">
        <v>307</v>
      </c>
      <c r="C71" s="219" t="n">
        <f aca="false">G60+M60</f>
        <v>0</v>
      </c>
    </row>
    <row r="73" customFormat="false" ht="27.75" hidden="false" customHeight="true" outlineLevel="0" collapsed="false">
      <c r="A73" s="220" t="s">
        <v>308</v>
      </c>
      <c r="B73" s="220"/>
      <c r="C73" s="220"/>
      <c r="D73" s="220"/>
      <c r="E73" s="220"/>
      <c r="F73" s="220"/>
      <c r="G73" s="220"/>
      <c r="H73" s="220"/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</row>
  </sheetData>
  <mergeCells count="10">
    <mergeCell ref="A1:S1"/>
    <mergeCell ref="A2:S2"/>
    <mergeCell ref="A3:S3"/>
    <mergeCell ref="A7:B7"/>
    <mergeCell ref="C7:H7"/>
    <mergeCell ref="I7:N7"/>
    <mergeCell ref="O7:P7"/>
    <mergeCell ref="Q7:S7"/>
    <mergeCell ref="A62:S62"/>
    <mergeCell ref="A73:S7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2026-03-12T06:32:23Z</dcterms:created>
  <dc:creator>openpyxl</dc:creator>
  <dc:description/>
  <dc:language>en-US</dc:language>
  <cp:lastModifiedBy/>
  <dcterms:modified xsi:type="dcterms:W3CDTF">2026-03-12T23:21:48Z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